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05" windowWidth="15075" windowHeight="76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66" i="1"/>
  <c r="I65"/>
  <c r="H64"/>
  <c r="M42" l="1"/>
  <c r="M41"/>
  <c r="H49"/>
  <c r="F55"/>
  <c r="F53"/>
  <c r="F51"/>
  <c r="H42"/>
  <c r="F38"/>
  <c r="G38" s="1"/>
  <c r="F32"/>
  <c r="F31"/>
  <c r="F30"/>
  <c r="F29"/>
  <c r="L29" s="1"/>
  <c r="M29" s="1"/>
  <c r="F24"/>
  <c r="F19"/>
  <c r="H20"/>
  <c r="F20"/>
  <c r="L20" s="1"/>
  <c r="H23"/>
  <c r="F23"/>
  <c r="L23" s="1"/>
  <c r="M23" s="1"/>
  <c r="L22"/>
  <c r="H22"/>
  <c r="F22"/>
  <c r="H29"/>
  <c r="F37"/>
  <c r="L28"/>
  <c r="K28"/>
  <c r="H28"/>
  <c r="F25"/>
  <c r="F26"/>
  <c r="F36"/>
  <c r="L36" s="1"/>
  <c r="F54"/>
  <c r="F41"/>
  <c r="F42" s="1"/>
  <c r="E42"/>
  <c r="E41"/>
  <c r="G41" s="1"/>
  <c r="L27"/>
  <c r="K37"/>
  <c r="H37"/>
  <c r="G37"/>
  <c r="H38"/>
  <c r="H36"/>
  <c r="K38"/>
  <c r="G36"/>
  <c r="F56"/>
  <c r="F52"/>
  <c r="H4"/>
  <c r="F59"/>
  <c r="H48"/>
  <c r="F48"/>
  <c r="L48" s="1"/>
  <c r="M48" s="1"/>
  <c r="H32"/>
  <c r="H30"/>
  <c r="H6"/>
  <c r="H5"/>
  <c r="E31"/>
  <c r="E30"/>
  <c r="E32"/>
  <c r="E33" s="1"/>
  <c r="H33"/>
  <c r="F33"/>
  <c r="L33" s="1"/>
  <c r="M33" s="1"/>
  <c r="K31"/>
  <c r="K30"/>
  <c r="L30"/>
  <c r="H31"/>
  <c r="H19"/>
  <c r="K39"/>
  <c r="G23" l="1"/>
  <c r="M28"/>
  <c r="G29"/>
  <c r="G42"/>
  <c r="L38"/>
  <c r="M38" s="1"/>
  <c r="L37"/>
  <c r="M37" s="1"/>
  <c r="M36"/>
  <c r="G48"/>
  <c r="G33"/>
  <c r="G30"/>
  <c r="L32"/>
  <c r="M32" s="1"/>
  <c r="G32"/>
  <c r="G31"/>
  <c r="L31"/>
  <c r="M30"/>
  <c r="M31"/>
  <c r="F45"/>
  <c r="G45" s="1"/>
  <c r="L25"/>
  <c r="L26"/>
  <c r="H12"/>
  <c r="H62"/>
  <c r="H61"/>
  <c r="L49"/>
  <c r="M27"/>
  <c r="K26"/>
  <c r="K25"/>
  <c r="K24"/>
  <c r="H25"/>
  <c r="H26"/>
  <c r="H24"/>
  <c r="G26"/>
  <c r="L24"/>
  <c r="M10"/>
  <c r="M12" s="1"/>
  <c r="M8"/>
  <c r="H10"/>
  <c r="H1"/>
  <c r="H40"/>
  <c r="K40"/>
  <c r="L57"/>
  <c r="M57" s="1"/>
  <c r="L54"/>
  <c r="M54" s="1"/>
  <c r="L51"/>
  <c r="M51" s="1"/>
  <c r="L15"/>
  <c r="M14"/>
  <c r="L14"/>
  <c r="K14"/>
  <c r="H59"/>
  <c r="H57"/>
  <c r="H54"/>
  <c r="H52"/>
  <c r="H47"/>
  <c r="H46"/>
  <c r="H18"/>
  <c r="H17"/>
  <c r="L59"/>
  <c r="G54"/>
  <c r="E35"/>
  <c r="G53"/>
  <c r="L55"/>
  <c r="M55" s="1"/>
  <c r="L56"/>
  <c r="M56" s="1"/>
  <c r="L52"/>
  <c r="G12"/>
  <c r="E22" l="1"/>
  <c r="G22" s="1"/>
  <c r="E20"/>
  <c r="G20" s="1"/>
  <c r="K22"/>
  <c r="M22" s="1"/>
  <c r="K20"/>
  <c r="M20" s="1"/>
  <c r="E19"/>
  <c r="K17"/>
  <c r="K19"/>
  <c r="K18"/>
  <c r="M25"/>
  <c r="M26"/>
  <c r="G24"/>
  <c r="M24" s="1"/>
  <c r="G25"/>
  <c r="K59"/>
  <c r="M59" s="1"/>
  <c r="M52"/>
  <c r="L53"/>
  <c r="M53" s="1"/>
  <c r="L45"/>
  <c r="M45" s="1"/>
  <c r="E39"/>
  <c r="E40" s="1"/>
  <c r="F40"/>
  <c r="L40" s="1"/>
  <c r="M40" s="1"/>
  <c r="E18"/>
  <c r="F18"/>
  <c r="L18" s="1"/>
  <c r="F17"/>
  <c r="F34"/>
  <c r="G51"/>
  <c r="E17"/>
  <c r="G15"/>
  <c r="M15" s="1"/>
  <c r="F35"/>
  <c r="L35" s="1"/>
  <c r="M35" s="1"/>
  <c r="F39"/>
  <c r="L39" s="1"/>
  <c r="M39" s="1"/>
  <c r="F43"/>
  <c r="F46" s="1"/>
  <c r="F44"/>
  <c r="F47"/>
  <c r="F50"/>
  <c r="G52"/>
  <c r="G55"/>
  <c r="G56"/>
  <c r="G57"/>
  <c r="L17" l="1"/>
  <c r="M17" s="1"/>
  <c r="L19"/>
  <c r="M19" s="1"/>
  <c r="G49"/>
  <c r="M49"/>
  <c r="G46"/>
  <c r="L46"/>
  <c r="M46" s="1"/>
  <c r="G43"/>
  <c r="L43"/>
  <c r="M43" s="1"/>
  <c r="G34"/>
  <c r="L34"/>
  <c r="M34" s="1"/>
  <c r="G50"/>
  <c r="L50"/>
  <c r="M50" s="1"/>
  <c r="G47"/>
  <c r="L47"/>
  <c r="M47" s="1"/>
  <c r="G44"/>
  <c r="L44"/>
  <c r="M44" s="1"/>
  <c r="M18"/>
  <c r="G40"/>
  <c r="G18"/>
  <c r="G39"/>
  <c r="E59"/>
  <c r="G59" s="1"/>
  <c r="G17"/>
  <c r="G35"/>
  <c r="G19" l="1"/>
  <c r="M61"/>
  <c r="M62" s="1"/>
  <c r="G61"/>
  <c r="G62" s="1"/>
  <c r="A66" l="1"/>
  <c r="A65"/>
  <c r="H65"/>
  <c r="H66"/>
</calcChain>
</file>

<file path=xl/sharedStrings.xml><?xml version="1.0" encoding="utf-8"?>
<sst xmlns="http://schemas.openxmlformats.org/spreadsheetml/2006/main" count="118" uniqueCount="116">
  <si>
    <t xml:space="preserve">Square Feet </t>
  </si>
  <si>
    <t>http://www.homewyse.com/services/cost_to_install_interior_door.html</t>
  </si>
  <si>
    <t>http://www.homewyse.com/services/cost_to_install_door_frame.html</t>
  </si>
  <si>
    <t>http://www.homewyse.com/services/cost_to_install_electrical_outlet.html</t>
  </si>
  <si>
    <t>http://www.homewyse.com/services/cost_to_install_bathroom_sink.html</t>
  </si>
  <si>
    <t>Door</t>
  </si>
  <si>
    <t>Electrical receptace</t>
  </si>
  <si>
    <t>http://www.homewyse.com/costs/cost_of_sprinkler_heads.html</t>
  </si>
  <si>
    <t>http://www.homewyse.com/services/cost_to_install_ceiling_speakers.html</t>
  </si>
  <si>
    <t>http://www.homewyse.com/services/cost_to_install_tile_floor.html</t>
  </si>
  <si>
    <t>Quanity</t>
  </si>
  <si>
    <t>Cost</t>
  </si>
  <si>
    <t>Door frame</t>
  </si>
  <si>
    <t>http://www.homewyse.com/services/cost_to_frame_interior_wall.html</t>
  </si>
  <si>
    <t>Total</t>
  </si>
  <si>
    <t>Item</t>
  </si>
  <si>
    <t>http://www.homewyse.com/services/cost_to_install_recessed_lighting.html</t>
  </si>
  <si>
    <t>Door signage</t>
  </si>
  <si>
    <t>Lighting fixture</t>
  </si>
  <si>
    <t>Soap dispenser</t>
  </si>
  <si>
    <t>http://www.homewyse.com/services/cost_to_install_cement_slab.html</t>
  </si>
  <si>
    <t>http://www.homewyse.com/costs/cost_of_bathroom_stalls.html</t>
  </si>
  <si>
    <t>Drop Ceiling</t>
  </si>
  <si>
    <t>http://www.adaptiveaccess.com/grab_bars_straight.php</t>
  </si>
  <si>
    <t>Floor tile</t>
  </si>
  <si>
    <t>Concrete floor slab</t>
  </si>
  <si>
    <t>http://www.homewyse.com/services/cost_to_hang_drywall.html</t>
  </si>
  <si>
    <t>Grab bar set</t>
  </si>
  <si>
    <t>Drywall both sides of stud wall</t>
  </si>
  <si>
    <t>Mirror</t>
  </si>
  <si>
    <t>https://www.prodryers.com/Baby-Changing-Stations-s/1983.htm</t>
  </si>
  <si>
    <t>https://www.prodryers.com/Commercial-Restroom-Soap-Dispensers-s/2124.htm</t>
  </si>
  <si>
    <t>https://www.prodryers.com/Commercial-Restroom-Waste-Receptacles-s/2166.htm</t>
  </si>
  <si>
    <t>https://www.prodryers.com/Palmer-Fixture-TS0142-17-1-2-Fold-Toilet-Seat-Cove-p/ts0142-17.htm</t>
  </si>
  <si>
    <t>Toilet seat cover dispenser</t>
  </si>
  <si>
    <t>Framed stud wall 27.5 LF X 8' H</t>
  </si>
  <si>
    <t>Framed stud wall 30 LF X 8' H</t>
  </si>
  <si>
    <t>Paper towell dispenser &amp; waste</t>
  </si>
  <si>
    <t>Difference in square footage</t>
  </si>
  <si>
    <t>https://www.prodryers.com/Bradley-780-1830-Angle-Frame-Commercial-Restroom-M-p/780-1830.htm</t>
  </si>
  <si>
    <t>Door Frame</t>
  </si>
  <si>
    <t>Net estimated additional cost without energy savings</t>
  </si>
  <si>
    <t>http://www.lowes.com/pd/Charlotte-Pipe-3-in-dia-x-10-ft-Cast-Iron-Pipe/3446722</t>
  </si>
  <si>
    <t>Sink (Lavatory)</t>
  </si>
  <si>
    <t>Baby changing table</t>
  </si>
  <si>
    <t>http://www.lowes.com/pd/Charlotte-Pipe-4-in-dia-x-10-ft-Cast-Iron-Pipe/3446724</t>
  </si>
  <si>
    <t>Single user stalls with sharred lavatories square footage</t>
  </si>
  <si>
    <t>3" cast iron sanitary piping sold as 10' lengths</t>
  </si>
  <si>
    <t>4" cast iron sanitary piping sold as 10' lengths</t>
  </si>
  <si>
    <t>3/4" hot water supply piping sold at 10' lengths</t>
  </si>
  <si>
    <t>3/4" cold water supply piping sold at 10' lengths</t>
  </si>
  <si>
    <t>http://www.homewyse.com/services/cost_to_install_light_switch.html</t>
  </si>
  <si>
    <t>http://buildingsdatabook.eren.doe.gov/TableView.aspx?table=3.3.8</t>
  </si>
  <si>
    <t>Department Of Energy Average Annual Energy Expenditures per Square Foot of Commercial Floor space:</t>
  </si>
  <si>
    <t xml:space="preserve">Hung toilet wall support bracket </t>
  </si>
  <si>
    <t>Urinal partition gang</t>
  </si>
  <si>
    <t>ADA stall gang</t>
  </si>
  <si>
    <t>Regular stall gang</t>
  </si>
  <si>
    <t>Light switch</t>
  </si>
  <si>
    <t>Exhaust ductwork</t>
  </si>
  <si>
    <t xml:space="preserve">doors for exhaust make-up air, plus amblugatory toilet room wall with 3/4" undercut door.  </t>
  </si>
  <si>
    <t>Ceiling exhaust grille</t>
  </si>
  <si>
    <t>http://www.homewyse.com/services/cost_to_install_built_up_roofing.html</t>
  </si>
  <si>
    <t>http://www.homewyse.com/services/cost_to_install_wall_tile.html</t>
  </si>
  <si>
    <t>Door (undercut 3/4" exhaust make-up air)</t>
  </si>
  <si>
    <t>4' high wall tile per 2015 IBC 1210.2.2 accessible rooms</t>
  </si>
  <si>
    <t>4' high wall tile per 2015 IBC 1210.2.2 standard rooms</t>
  </si>
  <si>
    <t>2X10 vs 2X4 for 27 feet @ $10/lf</t>
  </si>
  <si>
    <t>http://www.homewyse.com/services/cost_to_install_ceiling_tiles.html</t>
  </si>
  <si>
    <t>2 toilets replace 2 urinals - same cost</t>
  </si>
  <si>
    <t>Flat built up roof</t>
  </si>
  <si>
    <t>Partitions provide non-absorb surface</t>
  </si>
  <si>
    <t>Exhaust duct takeoff fittings for each grille</t>
  </si>
  <si>
    <t>(should not be designed along exterior perimeter walls that can require added</t>
  </si>
  <si>
    <t>Horn strobe (Note 3)</t>
  </si>
  <si>
    <t>Sprinkler heads (Note 7)</t>
  </si>
  <si>
    <t>Cost difference toilet seat with lift hinge (Note 6)</t>
  </si>
  <si>
    <t>Full height partitions with doors (Note 4)</t>
  </si>
  <si>
    <t>Notes</t>
  </si>
  <si>
    <t>1) Same total quantity as traditional separated restroom.</t>
  </si>
  <si>
    <t xml:space="preserve">5) Allowed per 2015 IMC Section 601.2, Exception 1 - Air Movement in Egress Elements. </t>
  </si>
  <si>
    <t>6) Kohler K-4672-0 elongated, open front, lift toilet seat vresus non-lift Kohler K-4731-SA-0.</t>
  </si>
  <si>
    <t>8) http://www.nfpa.org/news-and-research/publications/nfpa-journal/2012/may-june-2012/the-experts/buzzwords</t>
  </si>
  <si>
    <t>3) Horn strobe required for "large rooms"    http://www.pdhonline.com/courses/e341/e341content.pdf</t>
  </si>
  <si>
    <t>Energy savings 40 yr building (Note 2)</t>
  </si>
  <si>
    <t>Corridor door louver, exhaust make-up air (Note 5)</t>
  </si>
  <si>
    <t>(Note 1)</t>
  </si>
  <si>
    <t>Electrical recepticle (Note 1)</t>
  </si>
  <si>
    <t>Sink (Lavatory) (Note 1)</t>
  </si>
  <si>
    <t>Toilet seat cover dispenser (Note 1)</t>
  </si>
  <si>
    <t>Paper towell dispenser &amp; waste (Note 1)</t>
  </si>
  <si>
    <t>Soap dispenser (Note 1)</t>
  </si>
  <si>
    <t>Mirror (Note 1)</t>
  </si>
  <si>
    <t>Grab bar set (Note 1)</t>
  </si>
  <si>
    <t>Ceiling Speakers in egress corridor (Note 8)</t>
  </si>
  <si>
    <t>Ceiling speakers one in circulation area (Note 8)</t>
  </si>
  <si>
    <t xml:space="preserve">                        A)  10' corridor height speaker spacing at 20'.</t>
  </si>
  <si>
    <t xml:space="preserve">                B)  speakers located in normally occupiable spaces.</t>
  </si>
  <si>
    <t>7) https://sprinklerage.com/the-2016-edition-of-nfpa-13/</t>
  </si>
  <si>
    <t>8 fixture clustered Unisex Single User Toilet Rooms versus</t>
  </si>
  <si>
    <t>8 fixture gang Unisex Single User Stalls With Shared Lavatories versus</t>
  </si>
  <si>
    <t>Net estimated cost reduction with energy savings</t>
  </si>
  <si>
    <t xml:space="preserve">Roof steel structure estimated </t>
  </si>
  <si>
    <t xml:space="preserve">gang Men/Women Traditional Separated  </t>
  </si>
  <si>
    <t>heating or a/c installation plus energy usage over the life of a building)</t>
  </si>
  <si>
    <t>Traditional Separated Toilet Rooms estimated at $90,400.  Add</t>
  </si>
  <si>
    <t>to this for the unisex single user toilet rooms for a</t>
  </si>
  <si>
    <t>This design not recommended due to safety concerns, additional</t>
  </si>
  <si>
    <t xml:space="preserve">square footage/energy usage and paruresis issues.  </t>
  </si>
  <si>
    <t xml:space="preserve">2) Energy Savings realized if TOTAL new building size is reduced by saved square footage. </t>
  </si>
  <si>
    <t xml:space="preserve">Estimated Cost differential quotes based upon Aiken, SC 29803 </t>
  </si>
  <si>
    <t>Clustered single user toilet rooms square footage</t>
  </si>
  <si>
    <t>Traditional separated restroom square footage</t>
  </si>
  <si>
    <t xml:space="preserve">times additional costs multiplier.  </t>
  </si>
  <si>
    <t>4) Basic grade full height, no gap, floor to 8' ceiling sides and fronts with 3/4" undercut</t>
  </si>
  <si>
    <t xml:space="preserve">Full-height partition quote per Ironwood Manufacturering Co. times 1.25 for installation. </t>
  </si>
</sst>
</file>

<file path=xl/styles.xml><?xml version="1.0" encoding="utf-8"?>
<styleSheet xmlns="http://schemas.openxmlformats.org/spreadsheetml/2006/main">
  <numFmts count="5">
    <numFmt numFmtId="164" formatCode="0.0"/>
    <numFmt numFmtId="165" formatCode="&quot;$&quot;#,##0.0"/>
    <numFmt numFmtId="166" formatCode="&quot;$&quot;#,##0.00"/>
    <numFmt numFmtId="167" formatCode="&quot;$&quot;#,##0"/>
    <numFmt numFmtId="168" formatCode="#,##0.0"/>
  </numFmts>
  <fonts count="1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164" fontId="2" fillId="0" borderId="0" xfId="0" applyNumberFormat="1" applyFont="1"/>
    <xf numFmtId="9" fontId="2" fillId="0" borderId="0" xfId="0" applyNumberFormat="1" applyFont="1"/>
    <xf numFmtId="166" fontId="2" fillId="0" borderId="0" xfId="0" applyNumberFormat="1" applyFont="1"/>
    <xf numFmtId="166" fontId="1" fillId="0" borderId="0" xfId="0" applyNumberFormat="1" applyFont="1"/>
    <xf numFmtId="166" fontId="2" fillId="0" borderId="0" xfId="0" applyNumberFormat="1" applyFont="1" applyFill="1" applyBorder="1"/>
    <xf numFmtId="167" fontId="1" fillId="0" borderId="0" xfId="0" applyNumberFormat="1" applyFont="1" applyFill="1" applyBorder="1"/>
    <xf numFmtId="167" fontId="2" fillId="0" borderId="0" xfId="0" applyNumberFormat="1" applyFont="1" applyFill="1" applyBorder="1"/>
    <xf numFmtId="167" fontId="2" fillId="0" borderId="0" xfId="0" applyNumberFormat="1" applyFont="1"/>
    <xf numFmtId="0" fontId="3" fillId="0" borderId="0" xfId="0" applyFont="1"/>
    <xf numFmtId="166" fontId="3" fillId="0" borderId="0" xfId="0" applyNumberFormat="1" applyFont="1"/>
    <xf numFmtId="0" fontId="4" fillId="0" borderId="0" xfId="0" applyFont="1"/>
    <xf numFmtId="166" fontId="4" fillId="0" borderId="0" xfId="0" applyNumberFormat="1" applyFont="1"/>
    <xf numFmtId="167" fontId="1" fillId="0" borderId="0" xfId="0" applyNumberFormat="1" applyFont="1"/>
    <xf numFmtId="0" fontId="5" fillId="0" borderId="0" xfId="0" applyFont="1"/>
    <xf numFmtId="166" fontId="5" fillId="0" borderId="0" xfId="0" applyNumberFormat="1" applyFont="1"/>
    <xf numFmtId="164" fontId="5" fillId="0" borderId="0" xfId="0" applyNumberFormat="1" applyFont="1"/>
    <xf numFmtId="3" fontId="1" fillId="0" borderId="0" xfId="0" applyNumberFormat="1" applyFont="1"/>
    <xf numFmtId="3" fontId="2" fillId="0" borderId="0" xfId="0" applyNumberFormat="1" applyFont="1"/>
    <xf numFmtId="3" fontId="3" fillId="0" borderId="0" xfId="0" applyNumberFormat="1" applyFont="1"/>
    <xf numFmtId="3" fontId="5" fillId="0" borderId="0" xfId="0" applyNumberFormat="1" applyFont="1"/>
    <xf numFmtId="3" fontId="4" fillId="0" borderId="0" xfId="0" applyNumberFormat="1" applyFont="1"/>
    <xf numFmtId="165" fontId="4" fillId="0" borderId="0" xfId="0" applyNumberFormat="1" applyFont="1" applyFill="1" applyBorder="1"/>
    <xf numFmtId="164" fontId="4" fillId="0" borderId="0" xfId="0" applyNumberFormat="1" applyFont="1"/>
    <xf numFmtId="164" fontId="3" fillId="0" borderId="0" xfId="0" applyNumberFormat="1" applyFont="1"/>
    <xf numFmtId="4" fontId="2" fillId="0" borderId="0" xfId="0" applyNumberFormat="1" applyFont="1"/>
    <xf numFmtId="168" fontId="2" fillId="0" borderId="0" xfId="0" applyNumberFormat="1" applyFont="1"/>
    <xf numFmtId="0" fontId="6" fillId="0" borderId="0" xfId="0" applyFont="1"/>
    <xf numFmtId="0" fontId="0" fillId="0" borderId="0" xfId="0" applyFont="1"/>
    <xf numFmtId="164" fontId="0" fillId="0" borderId="0" xfId="0" applyNumberFormat="1" applyFont="1"/>
    <xf numFmtId="166" fontId="0" fillId="0" borderId="0" xfId="0" applyNumberFormat="1" applyFont="1"/>
    <xf numFmtId="167" fontId="1" fillId="0" borderId="1" xfId="0" applyNumberFormat="1" applyFont="1" applyFill="1" applyBorder="1"/>
    <xf numFmtId="167" fontId="0" fillId="0" borderId="0" xfId="0" applyNumberFormat="1" applyFont="1" applyFill="1" applyBorder="1"/>
    <xf numFmtId="3" fontId="0" fillId="0" borderId="0" xfId="0" applyNumberFormat="1" applyFont="1"/>
    <xf numFmtId="0" fontId="7" fillId="0" borderId="0" xfId="0" applyFont="1"/>
    <xf numFmtId="164" fontId="7" fillId="0" borderId="0" xfId="0" applyNumberFormat="1" applyFont="1"/>
    <xf numFmtId="166" fontId="7" fillId="0" borderId="0" xfId="0" applyNumberFormat="1" applyFont="1"/>
    <xf numFmtId="167" fontId="7" fillId="0" borderId="0" xfId="0" applyNumberFormat="1" applyFont="1" applyFill="1" applyBorder="1"/>
    <xf numFmtId="167" fontId="7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64" fontId="10" fillId="0" borderId="0" xfId="0" applyNumberFormat="1" applyFont="1"/>
    <xf numFmtId="166" fontId="10" fillId="0" borderId="0" xfId="0" applyNumberFormat="1" applyFont="1"/>
    <xf numFmtId="167" fontId="10" fillId="0" borderId="0" xfId="0" applyNumberFormat="1" applyFont="1" applyFill="1" applyBorder="1"/>
    <xf numFmtId="3" fontId="10" fillId="0" borderId="0" xfId="0" applyNumberFormat="1" applyFont="1"/>
    <xf numFmtId="0" fontId="12" fillId="0" borderId="0" xfId="0" applyFont="1"/>
    <xf numFmtId="0" fontId="11" fillId="0" borderId="0" xfId="1" applyFill="1" applyAlignment="1" applyProtection="1"/>
    <xf numFmtId="0" fontId="0" fillId="0" borderId="0" xfId="0" applyFont="1" applyFill="1"/>
    <xf numFmtId="164" fontId="0" fillId="0" borderId="0" xfId="0" applyNumberFormat="1" applyFont="1" applyFill="1"/>
    <xf numFmtId="166" fontId="0" fillId="0" borderId="0" xfId="0" applyNumberFormat="1" applyFont="1" applyFill="1"/>
    <xf numFmtId="3" fontId="0" fillId="0" borderId="0" xfId="0" applyNumberFormat="1" applyFont="1" applyFill="1"/>
    <xf numFmtId="4" fontId="1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topLeftCell="A91" workbookViewId="0">
      <selection activeCell="A104" sqref="A104"/>
    </sheetView>
  </sheetViews>
  <sheetFormatPr defaultRowHeight="18.75"/>
  <cols>
    <col min="1" max="1" width="10.7109375" style="2" bestFit="1" customWidth="1"/>
    <col min="2" max="2" width="9.140625" style="2"/>
    <col min="3" max="3" width="9.7109375" style="2" customWidth="1"/>
    <col min="4" max="4" width="15.7109375" style="2" customWidth="1"/>
    <col min="5" max="5" width="11.42578125" style="4" customWidth="1"/>
    <col min="6" max="6" width="15" style="6" customWidth="1"/>
    <col min="7" max="7" width="13.85546875" style="2" customWidth="1"/>
    <col min="8" max="8" width="16.42578125" style="2" customWidth="1"/>
    <col min="9" max="9" width="9.140625" style="2" customWidth="1"/>
    <col min="10" max="10" width="18.7109375" style="2" customWidth="1"/>
    <col min="11" max="11" width="10.140625" style="4" customWidth="1"/>
    <col min="12" max="12" width="12.7109375" style="2" bestFit="1" customWidth="1"/>
    <col min="13" max="13" width="13.140625" style="21" customWidth="1"/>
    <col min="14" max="16384" width="9.140625" style="2"/>
  </cols>
  <sheetData>
    <row r="1" spans="1:13" s="1" customFormat="1">
      <c r="A1" s="1" t="s">
        <v>110</v>
      </c>
      <c r="E1" s="3"/>
      <c r="F1" s="7"/>
      <c r="G1" s="9"/>
      <c r="H1" s="1" t="str">
        <f>A1</f>
        <v xml:space="preserve">Estimated Cost differential quotes based upon Aiken, SC 29803 </v>
      </c>
      <c r="K1" s="3"/>
      <c r="M1" s="20"/>
    </row>
    <row r="2" spans="1:13">
      <c r="A2" s="1"/>
      <c r="B2" s="1"/>
      <c r="C2" s="1"/>
      <c r="D2" s="1"/>
      <c r="E2" s="3"/>
      <c r="F2" s="7"/>
      <c r="G2" s="9"/>
    </row>
    <row r="3" spans="1:13" s="44" customFormat="1" ht="15.75">
      <c r="A3" s="44" t="s">
        <v>99</v>
      </c>
      <c r="E3" s="45"/>
      <c r="F3" s="46"/>
      <c r="G3" s="47"/>
      <c r="H3" s="44" t="s">
        <v>100</v>
      </c>
      <c r="K3" s="45"/>
      <c r="M3" s="48"/>
    </row>
    <row r="4" spans="1:13" s="44" customFormat="1" ht="15.75">
      <c r="A4" s="44" t="s">
        <v>103</v>
      </c>
      <c r="E4" s="45"/>
      <c r="F4" s="46"/>
      <c r="H4" s="44" t="str">
        <f>A4</f>
        <v xml:space="preserve">gang Men/Women Traditional Separated  </v>
      </c>
      <c r="K4" s="45"/>
      <c r="M4" s="48"/>
    </row>
    <row r="5" spans="1:13">
      <c r="A5" s="17" t="s">
        <v>73</v>
      </c>
      <c r="B5" s="17"/>
      <c r="H5" s="17" t="str">
        <f>A5</f>
        <v>(should not be designed along exterior perimeter walls that can require added</v>
      </c>
    </row>
    <row r="6" spans="1:13">
      <c r="A6" s="17" t="s">
        <v>104</v>
      </c>
      <c r="B6" s="17"/>
      <c r="H6" s="17" t="str">
        <f>A6</f>
        <v>heating or a/c installation plus energy usage over the life of a building)</v>
      </c>
    </row>
    <row r="7" spans="1:13">
      <c r="A7" s="17"/>
      <c r="B7" s="17"/>
      <c r="H7" s="17"/>
    </row>
    <row r="8" spans="1:13">
      <c r="G8" s="3" t="s">
        <v>0</v>
      </c>
      <c r="M8" s="20" t="str">
        <f>G8</f>
        <v xml:space="preserve">Square Feet </v>
      </c>
    </row>
    <row r="9" spans="1:13">
      <c r="G9" s="4"/>
    </row>
    <row r="10" spans="1:13">
      <c r="A10" s="2" t="s">
        <v>112</v>
      </c>
      <c r="G10" s="4">
        <v>452</v>
      </c>
      <c r="H10" s="4" t="str">
        <f>A10</f>
        <v>Traditional separated restroom square footage</v>
      </c>
      <c r="M10" s="29">
        <f>G10</f>
        <v>452</v>
      </c>
    </row>
    <row r="11" spans="1:13">
      <c r="A11" s="2" t="s">
        <v>111</v>
      </c>
      <c r="G11" s="4">
        <v>335.5</v>
      </c>
      <c r="H11" s="4" t="s">
        <v>46</v>
      </c>
      <c r="M11" s="29">
        <v>387</v>
      </c>
    </row>
    <row r="12" spans="1:13">
      <c r="A12" s="2" t="s">
        <v>38</v>
      </c>
      <c r="G12" s="4">
        <f>G10-G11</f>
        <v>116.5</v>
      </c>
      <c r="H12" s="5" t="str">
        <f>A12</f>
        <v>Difference in square footage</v>
      </c>
      <c r="M12" s="29">
        <f>M10-M11</f>
        <v>65</v>
      </c>
    </row>
    <row r="13" spans="1:13" s="1" customFormat="1">
      <c r="E13" s="3"/>
      <c r="F13" s="7"/>
      <c r="G13" s="9"/>
      <c r="K13" s="3"/>
      <c r="M13" s="20"/>
    </row>
    <row r="14" spans="1:13" s="1" customFormat="1">
      <c r="E14" s="3" t="s">
        <v>10</v>
      </c>
      <c r="F14" s="7" t="s">
        <v>15</v>
      </c>
      <c r="G14" s="9" t="s">
        <v>14</v>
      </c>
      <c r="K14" s="3" t="str">
        <f>E14</f>
        <v>Quanity</v>
      </c>
      <c r="L14" s="16" t="str">
        <f>F14</f>
        <v>Item</v>
      </c>
      <c r="M14" s="20" t="str">
        <f>G14</f>
        <v>Total</v>
      </c>
    </row>
    <row r="15" spans="1:13" s="1" customFormat="1">
      <c r="E15" s="3"/>
      <c r="F15" s="7" t="s">
        <v>11</v>
      </c>
      <c r="G15" s="9" t="str">
        <f>F15</f>
        <v>Cost</v>
      </c>
      <c r="I15" s="2"/>
      <c r="K15" s="3"/>
      <c r="L15" s="16" t="str">
        <f>F15</f>
        <v>Cost</v>
      </c>
      <c r="M15" s="20" t="str">
        <f>G15</f>
        <v>Cost</v>
      </c>
    </row>
    <row r="16" spans="1:13">
      <c r="G16" s="10"/>
      <c r="M16" s="11"/>
    </row>
    <row r="17" spans="1:13">
      <c r="A17" s="2" t="s">
        <v>25</v>
      </c>
      <c r="E17" s="4">
        <f>-G12</f>
        <v>-116.5</v>
      </c>
      <c r="F17" s="6">
        <f>(7.89+5.92)/2</f>
        <v>6.9049999999999994</v>
      </c>
      <c r="G17" s="10">
        <f>E17*F17</f>
        <v>-804.43249999999989</v>
      </c>
      <c r="H17" s="2" t="str">
        <f>A17</f>
        <v>Concrete floor slab</v>
      </c>
      <c r="K17" s="4">
        <f>-M12</f>
        <v>-65</v>
      </c>
      <c r="L17" s="6">
        <f>F17</f>
        <v>6.9049999999999994</v>
      </c>
      <c r="M17" s="11">
        <f>K17*L17</f>
        <v>-448.82499999999993</v>
      </c>
    </row>
    <row r="18" spans="1:13">
      <c r="A18" s="2" t="s">
        <v>24</v>
      </c>
      <c r="E18" s="4">
        <f>-G12</f>
        <v>-116.5</v>
      </c>
      <c r="F18" s="6">
        <f>(19.02+10.81)/2</f>
        <v>14.914999999999999</v>
      </c>
      <c r="G18" s="10">
        <f>E18*F18</f>
        <v>-1737.5974999999999</v>
      </c>
      <c r="H18" s="2" t="str">
        <f>A18</f>
        <v>Floor tile</v>
      </c>
      <c r="K18" s="4">
        <f>-M12</f>
        <v>-65</v>
      </c>
      <c r="L18" s="6">
        <f>F18</f>
        <v>14.914999999999999</v>
      </c>
      <c r="M18" s="11">
        <f>K18*L18</f>
        <v>-969.47499999999991</v>
      </c>
    </row>
    <row r="19" spans="1:13">
      <c r="A19" s="17" t="s">
        <v>102</v>
      </c>
      <c r="E19" s="4">
        <f>-G12</f>
        <v>-116.5</v>
      </c>
      <c r="F19" s="6">
        <f>13</f>
        <v>13</v>
      </c>
      <c r="G19" s="10">
        <f>E19*F19</f>
        <v>-1514.5</v>
      </c>
      <c r="H19" s="17" t="str">
        <f>A19</f>
        <v xml:space="preserve">Roof steel structure estimated </v>
      </c>
      <c r="K19" s="4">
        <f>-M12</f>
        <v>-65</v>
      </c>
      <c r="L19" s="6">
        <f>F19</f>
        <v>13</v>
      </c>
      <c r="M19" s="11">
        <f>K19*L19</f>
        <v>-845</v>
      </c>
    </row>
    <row r="20" spans="1:13">
      <c r="A20" s="2" t="s">
        <v>70</v>
      </c>
      <c r="E20" s="4">
        <f>-G12</f>
        <v>-116.5</v>
      </c>
      <c r="F20" s="6">
        <f>(6.32+4.66)/2</f>
        <v>5.49</v>
      </c>
      <c r="G20" s="10">
        <f>E20*F20</f>
        <v>-639.58500000000004</v>
      </c>
      <c r="H20" s="2" t="str">
        <f>A20</f>
        <v>Flat built up roof</v>
      </c>
      <c r="K20" s="4">
        <f>-M12</f>
        <v>-65</v>
      </c>
      <c r="L20" s="6">
        <f>F20</f>
        <v>5.49</v>
      </c>
      <c r="M20" s="11">
        <f>K20*L20</f>
        <v>-356.85</v>
      </c>
    </row>
    <row r="21" spans="1:13">
      <c r="G21" s="10"/>
      <c r="H21" s="2" t="s">
        <v>67</v>
      </c>
      <c r="L21" s="6"/>
      <c r="M21" s="11">
        <v>270</v>
      </c>
    </row>
    <row r="22" spans="1:13">
      <c r="A22" s="2" t="s">
        <v>22</v>
      </c>
      <c r="C22" s="4"/>
      <c r="E22" s="4">
        <f>-G12</f>
        <v>-116.5</v>
      </c>
      <c r="F22" s="8">
        <f>(4.23+5.98)/2</f>
        <v>5.1050000000000004</v>
      </c>
      <c r="G22" s="11">
        <f t="shared" ref="G22" si="0">E22*F22</f>
        <v>-594.73250000000007</v>
      </c>
      <c r="H22" s="2" t="str">
        <f>A22</f>
        <v>Drop Ceiling</v>
      </c>
      <c r="I22" s="21"/>
      <c r="K22" s="4">
        <f>-M12</f>
        <v>-65</v>
      </c>
      <c r="L22" s="6">
        <f>(6.77+4.76)/2</f>
        <v>5.7649999999999997</v>
      </c>
      <c r="M22" s="11">
        <f t="shared" ref="M22:M23" si="1">K22*L22</f>
        <v>-374.72499999999997</v>
      </c>
    </row>
    <row r="23" spans="1:13">
      <c r="A23" t="s">
        <v>85</v>
      </c>
      <c r="E23" s="4">
        <v>-2</v>
      </c>
      <c r="F23" s="8">
        <f>126*1.5</f>
        <v>189</v>
      </c>
      <c r="G23" s="11">
        <f>E23*F23</f>
        <v>-378</v>
      </c>
      <c r="H23" s="31" t="str">
        <f>A23</f>
        <v>Corridor door louver, exhaust make-up air (Note 5)</v>
      </c>
      <c r="K23" s="4">
        <v>-1</v>
      </c>
      <c r="L23" s="6">
        <f>F23</f>
        <v>189</v>
      </c>
      <c r="M23" s="11">
        <f t="shared" si="1"/>
        <v>-189</v>
      </c>
    </row>
    <row r="24" spans="1:13">
      <c r="A24" s="2" t="s">
        <v>56</v>
      </c>
      <c r="E24" s="4">
        <v>-2</v>
      </c>
      <c r="F24" s="8">
        <f>1206*1.3</f>
        <v>1567.8</v>
      </c>
      <c r="G24" s="11">
        <f>E24*F24</f>
        <v>-3135.6</v>
      </c>
      <c r="H24" s="2" t="str">
        <f>A24</f>
        <v>ADA stall gang</v>
      </c>
      <c r="K24" s="4">
        <f>E24</f>
        <v>-2</v>
      </c>
      <c r="L24" s="6">
        <f>F24</f>
        <v>1567.8</v>
      </c>
      <c r="M24" s="11">
        <f>G24</f>
        <v>-3135.6</v>
      </c>
    </row>
    <row r="25" spans="1:13">
      <c r="A25" s="2" t="s">
        <v>57</v>
      </c>
      <c r="E25" s="4">
        <v>-4</v>
      </c>
      <c r="F25" s="8">
        <f>(1818+788)/2</f>
        <v>1303</v>
      </c>
      <c r="G25" s="11">
        <f>E25*F25</f>
        <v>-5212</v>
      </c>
      <c r="H25" s="2" t="str">
        <f>A25</f>
        <v>Regular stall gang</v>
      </c>
      <c r="K25" s="4">
        <f>E25</f>
        <v>-4</v>
      </c>
      <c r="L25" s="6">
        <f>F25</f>
        <v>1303</v>
      </c>
      <c r="M25" s="11">
        <f t="shared" ref="M25:M59" si="2">K25*L25</f>
        <v>-5212</v>
      </c>
    </row>
    <row r="26" spans="1:13">
      <c r="A26" s="2" t="s">
        <v>55</v>
      </c>
      <c r="E26" s="4">
        <v>-1</v>
      </c>
      <c r="F26" s="8">
        <f>166*1.5</f>
        <v>249</v>
      </c>
      <c r="G26" s="11">
        <f>E26*F26</f>
        <v>-249</v>
      </c>
      <c r="H26" s="2" t="str">
        <f>A26</f>
        <v>Urinal partition gang</v>
      </c>
      <c r="K26" s="4">
        <f>E26</f>
        <v>-1</v>
      </c>
      <c r="L26" s="6">
        <f>F26</f>
        <v>249</v>
      </c>
      <c r="M26" s="11">
        <f t="shared" si="2"/>
        <v>-249</v>
      </c>
    </row>
    <row r="27" spans="1:13">
      <c r="F27" s="8"/>
      <c r="G27" s="11"/>
      <c r="H27" s="2" t="s">
        <v>77</v>
      </c>
      <c r="K27" s="4">
        <v>1</v>
      </c>
      <c r="L27" s="28">
        <f>15343.41*1.25</f>
        <v>19179.262500000001</v>
      </c>
      <c r="M27" s="11">
        <f t="shared" si="2"/>
        <v>19179.262500000001</v>
      </c>
    </row>
    <row r="28" spans="1:13">
      <c r="A28" s="2" t="s">
        <v>69</v>
      </c>
      <c r="E28" s="4">
        <v>0</v>
      </c>
      <c r="F28" s="8">
        <v>0</v>
      </c>
      <c r="G28" s="11">
        <v>0</v>
      </c>
      <c r="H28" s="2" t="str">
        <f>A28</f>
        <v>2 toilets replace 2 urinals - same cost</v>
      </c>
      <c r="K28" s="4">
        <f>E28</f>
        <v>0</v>
      </c>
      <c r="L28" s="28">
        <f>F28</f>
        <v>0</v>
      </c>
      <c r="M28" s="11">
        <f t="shared" ref="M28:M33" si="3">K28*L28</f>
        <v>0</v>
      </c>
    </row>
    <row r="29" spans="1:13">
      <c r="A29" s="2" t="s">
        <v>54</v>
      </c>
      <c r="E29" s="4">
        <v>2</v>
      </c>
      <c r="F29" s="8">
        <f>238.3*2</f>
        <v>476.6</v>
      </c>
      <c r="G29" s="11">
        <f>E29*F29</f>
        <v>953.2</v>
      </c>
      <c r="H29" s="2" t="str">
        <f>A29</f>
        <v xml:space="preserve">Hung toilet wall support bracket </v>
      </c>
      <c r="K29" s="4">
        <v>2</v>
      </c>
      <c r="L29" s="6">
        <f>F29</f>
        <v>476.6</v>
      </c>
      <c r="M29" s="11">
        <f t="shared" si="3"/>
        <v>953.2</v>
      </c>
    </row>
    <row r="30" spans="1:13">
      <c r="A30" s="31" t="s">
        <v>47</v>
      </c>
      <c r="E30" s="4">
        <f>4.5/10</f>
        <v>0.45</v>
      </c>
      <c r="F30" s="8">
        <f>58.5*2</f>
        <v>117</v>
      </c>
      <c r="G30" s="11">
        <f>E30*F30</f>
        <v>52.65</v>
      </c>
      <c r="H30" s="31" t="str">
        <f>A30</f>
        <v>3" cast iron sanitary piping sold as 10' lengths</v>
      </c>
      <c r="K30" s="4">
        <f>0.4</f>
        <v>0.4</v>
      </c>
      <c r="L30" s="28">
        <f>F30</f>
        <v>117</v>
      </c>
      <c r="M30" s="11">
        <f t="shared" si="3"/>
        <v>46.800000000000004</v>
      </c>
    </row>
    <row r="31" spans="1:13">
      <c r="A31" s="31" t="s">
        <v>48</v>
      </c>
      <c r="E31" s="4">
        <f>28/10</f>
        <v>2.8</v>
      </c>
      <c r="F31" s="8">
        <f>76.88*2</f>
        <v>153.76</v>
      </c>
      <c r="G31" s="11">
        <f>E31*F31</f>
        <v>430.52799999999996</v>
      </c>
      <c r="H31" s="31" t="str">
        <f t="shared" ref="H31:H33" si="4">A31</f>
        <v>4" cast iron sanitary piping sold as 10' lengths</v>
      </c>
      <c r="K31" s="4">
        <f>1.2</f>
        <v>1.2</v>
      </c>
      <c r="L31" s="28">
        <f>F31</f>
        <v>153.76</v>
      </c>
      <c r="M31" s="11">
        <f t="shared" si="3"/>
        <v>184.51199999999997</v>
      </c>
    </row>
    <row r="32" spans="1:13">
      <c r="A32" s="31" t="s">
        <v>49</v>
      </c>
      <c r="E32" s="4">
        <f>32/10</f>
        <v>3.2</v>
      </c>
      <c r="F32" s="8">
        <f>15.58*2</f>
        <v>31.16</v>
      </c>
      <c r="G32" s="11">
        <f>E32*F32</f>
        <v>99.712000000000003</v>
      </c>
      <c r="H32" s="31" t="str">
        <f>A32</f>
        <v>3/4" hot water supply piping sold at 10' lengths</v>
      </c>
      <c r="J32" s="31" t="s">
        <v>86</v>
      </c>
      <c r="K32" s="4">
        <v>0</v>
      </c>
      <c r="L32" s="28">
        <f>F32</f>
        <v>31.16</v>
      </c>
      <c r="M32" s="11">
        <f t="shared" si="3"/>
        <v>0</v>
      </c>
    </row>
    <row r="33" spans="1:13">
      <c r="A33" s="31" t="s">
        <v>50</v>
      </c>
      <c r="E33" s="4">
        <f>E32</f>
        <v>3.2</v>
      </c>
      <c r="F33" s="8">
        <f>F32</f>
        <v>31.16</v>
      </c>
      <c r="G33" s="11">
        <f>E33*F33</f>
        <v>99.712000000000003</v>
      </c>
      <c r="H33" s="31" t="str">
        <f t="shared" si="4"/>
        <v>3/4" cold water supply piping sold at 10' lengths</v>
      </c>
      <c r="J33" s="31" t="s">
        <v>86</v>
      </c>
      <c r="K33" s="4">
        <v>0</v>
      </c>
      <c r="L33" s="28">
        <f>F33</f>
        <v>31.16</v>
      </c>
      <c r="M33" s="11">
        <f t="shared" si="3"/>
        <v>0</v>
      </c>
    </row>
    <row r="34" spans="1:13">
      <c r="A34" s="17" t="s">
        <v>64</v>
      </c>
      <c r="E34" s="4">
        <v>6</v>
      </c>
      <c r="F34" s="6">
        <f>(687+565)/2</f>
        <v>626</v>
      </c>
      <c r="G34" s="10">
        <f t="shared" ref="G34:G57" si="5">E34*F34</f>
        <v>3756</v>
      </c>
      <c r="H34" s="2" t="s">
        <v>5</v>
      </c>
      <c r="K34" s="4">
        <v>-1</v>
      </c>
      <c r="L34" s="6">
        <f t="shared" ref="L34:L51" si="6">F34</f>
        <v>626</v>
      </c>
      <c r="M34" s="11">
        <f t="shared" si="2"/>
        <v>-626</v>
      </c>
    </row>
    <row r="35" spans="1:13">
      <c r="A35" s="2" t="s">
        <v>12</v>
      </c>
      <c r="E35" s="4">
        <f>E34</f>
        <v>6</v>
      </c>
      <c r="F35" s="8">
        <f>(367+226)/2</f>
        <v>296.5</v>
      </c>
      <c r="G35" s="11">
        <f t="shared" si="5"/>
        <v>1779</v>
      </c>
      <c r="H35" s="2" t="s">
        <v>40</v>
      </c>
      <c r="K35" s="4">
        <v>-1</v>
      </c>
      <c r="L35" s="6">
        <f t="shared" si="6"/>
        <v>296.5</v>
      </c>
      <c r="M35" s="11">
        <f t="shared" si="2"/>
        <v>-296.5</v>
      </c>
    </row>
    <row r="36" spans="1:13">
      <c r="A36" s="2" t="s">
        <v>59</v>
      </c>
      <c r="E36" s="4">
        <v>40</v>
      </c>
      <c r="F36" s="8">
        <f>(80/3)*1.5</f>
        <v>40</v>
      </c>
      <c r="G36" s="11">
        <f t="shared" ref="G36:G42" si="7">E36*F36</f>
        <v>1600</v>
      </c>
      <c r="H36" s="2" t="str">
        <f>A36</f>
        <v>Exhaust ductwork</v>
      </c>
      <c r="K36" s="4">
        <v>18</v>
      </c>
      <c r="L36" s="6">
        <f>F36</f>
        <v>40</v>
      </c>
      <c r="M36" s="11">
        <f>K36*L36</f>
        <v>720</v>
      </c>
    </row>
    <row r="37" spans="1:13">
      <c r="A37" s="17" t="s">
        <v>72</v>
      </c>
      <c r="E37" s="4">
        <v>6</v>
      </c>
      <c r="F37" s="8">
        <f>6.76*2</f>
        <v>13.52</v>
      </c>
      <c r="G37" s="11">
        <f t="shared" si="7"/>
        <v>81.12</v>
      </c>
      <c r="H37" s="17" t="str">
        <f>A37</f>
        <v>Exhaust duct takeoff fittings for each grille</v>
      </c>
      <c r="K37" s="4">
        <f>E37</f>
        <v>6</v>
      </c>
      <c r="L37" s="6">
        <f>F37</f>
        <v>13.52</v>
      </c>
      <c r="M37" s="11">
        <f>K37*L37</f>
        <v>81.12</v>
      </c>
    </row>
    <row r="38" spans="1:13">
      <c r="A38" s="2" t="s">
        <v>61</v>
      </c>
      <c r="E38" s="4">
        <v>6</v>
      </c>
      <c r="F38" s="8">
        <f>5.18*3</f>
        <v>15.54</v>
      </c>
      <c r="G38" s="11">
        <f t="shared" si="7"/>
        <v>93.24</v>
      </c>
      <c r="H38" s="2" t="str">
        <f>A38</f>
        <v>Ceiling exhaust grille</v>
      </c>
      <c r="K38" s="4">
        <f>E38</f>
        <v>6</v>
      </c>
      <c r="L38" s="6">
        <f>F38</f>
        <v>15.54</v>
      </c>
      <c r="M38" s="11">
        <f>K38*L38</f>
        <v>93.24</v>
      </c>
    </row>
    <row r="39" spans="1:13">
      <c r="A39" s="2" t="s">
        <v>35</v>
      </c>
      <c r="E39" s="4">
        <f>27.5*8</f>
        <v>220</v>
      </c>
      <c r="F39" s="6">
        <f>(3.01+5.03)/2</f>
        <v>4.0199999999999996</v>
      </c>
      <c r="G39" s="10">
        <f t="shared" si="7"/>
        <v>884.39999999999986</v>
      </c>
      <c r="H39" s="2" t="s">
        <v>36</v>
      </c>
      <c r="K39" s="4">
        <f>-30*8</f>
        <v>-240</v>
      </c>
      <c r="L39" s="6">
        <f t="shared" si="6"/>
        <v>4.0199999999999996</v>
      </c>
      <c r="M39" s="11">
        <f t="shared" si="2"/>
        <v>-964.8</v>
      </c>
    </row>
    <row r="40" spans="1:13">
      <c r="A40" s="2" t="s">
        <v>28</v>
      </c>
      <c r="E40" s="4">
        <f>E39*2</f>
        <v>440</v>
      </c>
      <c r="F40" s="6">
        <f>(5.96+3.98)/2</f>
        <v>4.97</v>
      </c>
      <c r="G40" s="10">
        <f t="shared" si="7"/>
        <v>2186.7999999999997</v>
      </c>
      <c r="H40" s="11" t="str">
        <f>A40</f>
        <v>Drywall both sides of stud wall</v>
      </c>
      <c r="K40" s="4">
        <f>K39*2</f>
        <v>-480</v>
      </c>
      <c r="L40" s="6">
        <f t="shared" si="6"/>
        <v>4.97</v>
      </c>
      <c r="M40" s="11">
        <f t="shared" si="2"/>
        <v>-2385.6</v>
      </c>
    </row>
    <row r="41" spans="1:13">
      <c r="A41" s="12" t="s">
        <v>65</v>
      </c>
      <c r="E41" s="4">
        <f>((5+5+7+(7-3))*4)</f>
        <v>84</v>
      </c>
      <c r="F41" s="6">
        <f>(15.74-6.83)/2</f>
        <v>4.4550000000000001</v>
      </c>
      <c r="G41" s="10">
        <f t="shared" si="7"/>
        <v>374.22</v>
      </c>
      <c r="H41" s="11" t="s">
        <v>71</v>
      </c>
      <c r="K41" s="4">
        <v>0</v>
      </c>
      <c r="L41" s="6">
        <v>0</v>
      </c>
      <c r="M41" s="11">
        <f>K41*L41</f>
        <v>0</v>
      </c>
    </row>
    <row r="42" spans="1:13">
      <c r="A42" s="12" t="s">
        <v>66</v>
      </c>
      <c r="E42" s="4">
        <f>((5+5+5+(5-3))*4)</f>
        <v>68</v>
      </c>
      <c r="F42" s="6">
        <f>F41</f>
        <v>4.4550000000000001</v>
      </c>
      <c r="G42" s="10">
        <f t="shared" si="7"/>
        <v>302.94</v>
      </c>
      <c r="H42" s="11" t="str">
        <f>H41</f>
        <v>Partitions provide non-absorb surface</v>
      </c>
      <c r="K42" s="4">
        <v>0</v>
      </c>
      <c r="L42" s="6">
        <v>0</v>
      </c>
      <c r="M42" s="11">
        <f>K42*L42</f>
        <v>0</v>
      </c>
    </row>
    <row r="43" spans="1:13">
      <c r="A43" s="2" t="s">
        <v>6</v>
      </c>
      <c r="E43" s="4">
        <v>6</v>
      </c>
      <c r="F43" s="8">
        <f>(258+207)/2</f>
        <v>232.5</v>
      </c>
      <c r="G43" s="11">
        <f t="shared" si="5"/>
        <v>1395</v>
      </c>
      <c r="H43" s="2" t="s">
        <v>87</v>
      </c>
      <c r="K43" s="4">
        <v>0</v>
      </c>
      <c r="L43" s="6">
        <f t="shared" si="6"/>
        <v>232.5</v>
      </c>
      <c r="M43" s="11">
        <f t="shared" si="2"/>
        <v>0</v>
      </c>
    </row>
    <row r="44" spans="1:13">
      <c r="A44" s="2" t="s">
        <v>43</v>
      </c>
      <c r="E44" s="4">
        <v>2</v>
      </c>
      <c r="F44" s="6">
        <f>(384+609)/2</f>
        <v>496.5</v>
      </c>
      <c r="G44" s="10">
        <f t="shared" si="5"/>
        <v>993</v>
      </c>
      <c r="H44" s="2" t="s">
        <v>88</v>
      </c>
      <c r="K44" s="4">
        <v>0</v>
      </c>
      <c r="L44" s="6">
        <f t="shared" si="6"/>
        <v>496.5</v>
      </c>
      <c r="M44" s="11">
        <f t="shared" si="2"/>
        <v>0</v>
      </c>
    </row>
    <row r="45" spans="1:13">
      <c r="A45" s="2" t="s">
        <v>29</v>
      </c>
      <c r="E45" s="4">
        <v>2</v>
      </c>
      <c r="F45" s="6">
        <f>110*1.5</f>
        <v>165</v>
      </c>
      <c r="G45" s="10">
        <f>E45*F45</f>
        <v>330</v>
      </c>
      <c r="H45" s="2" t="s">
        <v>92</v>
      </c>
      <c r="K45" s="4">
        <v>0</v>
      </c>
      <c r="L45" s="6">
        <f t="shared" si="6"/>
        <v>165</v>
      </c>
      <c r="M45" s="11">
        <f t="shared" si="2"/>
        <v>0</v>
      </c>
    </row>
    <row r="46" spans="1:13">
      <c r="A46" s="2" t="s">
        <v>74</v>
      </c>
      <c r="E46" s="4">
        <v>-2</v>
      </c>
      <c r="F46" s="6">
        <f>F43</f>
        <v>232.5</v>
      </c>
      <c r="G46" s="10">
        <f t="shared" si="5"/>
        <v>-465</v>
      </c>
      <c r="H46" s="2" t="str">
        <f>A46</f>
        <v>Horn strobe (Note 3)</v>
      </c>
      <c r="K46" s="4">
        <v>-1</v>
      </c>
      <c r="L46" s="6">
        <f t="shared" si="6"/>
        <v>232.5</v>
      </c>
      <c r="M46" s="11">
        <f t="shared" si="2"/>
        <v>-232.5</v>
      </c>
    </row>
    <row r="47" spans="1:13">
      <c r="A47" s="2" t="s">
        <v>18</v>
      </c>
      <c r="E47" s="4">
        <v>4</v>
      </c>
      <c r="F47" s="8">
        <f>(235+345)/2</f>
        <v>290</v>
      </c>
      <c r="G47" s="11">
        <f t="shared" si="5"/>
        <v>1160</v>
      </c>
      <c r="H47" s="2" t="str">
        <f>A47</f>
        <v>Lighting fixture</v>
      </c>
      <c r="K47" s="4">
        <v>2</v>
      </c>
      <c r="L47" s="6">
        <f t="shared" si="6"/>
        <v>290</v>
      </c>
      <c r="M47" s="11">
        <f t="shared" si="2"/>
        <v>580</v>
      </c>
    </row>
    <row r="48" spans="1:13">
      <c r="A48" s="2" t="s">
        <v>58</v>
      </c>
      <c r="E48" s="4">
        <v>6</v>
      </c>
      <c r="F48" s="8">
        <f>(256+201)/2</f>
        <v>228.5</v>
      </c>
      <c r="G48" s="11">
        <f t="shared" si="5"/>
        <v>1371</v>
      </c>
      <c r="H48" s="2" t="str">
        <f>A48</f>
        <v>Light switch</v>
      </c>
      <c r="K48" s="4">
        <v>-1</v>
      </c>
      <c r="L48" s="6">
        <f>F48</f>
        <v>228.5</v>
      </c>
      <c r="M48" s="11">
        <f>K48*L48</f>
        <v>-228.5</v>
      </c>
    </row>
    <row r="49" spans="1:14">
      <c r="A49" s="2" t="s">
        <v>75</v>
      </c>
      <c r="E49" s="4">
        <v>-2</v>
      </c>
      <c r="F49" s="8">
        <v>100</v>
      </c>
      <c r="G49" s="11">
        <f t="shared" si="5"/>
        <v>-200</v>
      </c>
      <c r="H49" s="2" t="str">
        <f>A49</f>
        <v>Sprinkler heads (Note 7)</v>
      </c>
      <c r="K49" s="4">
        <v>0</v>
      </c>
      <c r="L49" s="8">
        <f t="shared" si="6"/>
        <v>100</v>
      </c>
      <c r="M49" s="11">
        <f t="shared" si="2"/>
        <v>0</v>
      </c>
    </row>
    <row r="50" spans="1:14">
      <c r="A50" t="s">
        <v>94</v>
      </c>
      <c r="D50" s="12"/>
      <c r="E50" s="4">
        <v>-2</v>
      </c>
      <c r="F50" s="8">
        <f>(409+217)/2</f>
        <v>313</v>
      </c>
      <c r="G50" s="11">
        <f t="shared" si="5"/>
        <v>-626</v>
      </c>
      <c r="H50" t="s">
        <v>95</v>
      </c>
      <c r="K50" s="4">
        <v>-1</v>
      </c>
      <c r="L50" s="6">
        <f t="shared" si="6"/>
        <v>313</v>
      </c>
      <c r="M50" s="11">
        <f t="shared" si="2"/>
        <v>-313</v>
      </c>
    </row>
    <row r="51" spans="1:14">
      <c r="A51" s="2" t="s">
        <v>27</v>
      </c>
      <c r="E51" s="4">
        <v>2</v>
      </c>
      <c r="F51" s="8">
        <f>30*3*2</f>
        <v>180</v>
      </c>
      <c r="G51" s="11">
        <f>E51*F51</f>
        <v>360</v>
      </c>
      <c r="H51" s="2" t="s">
        <v>93</v>
      </c>
      <c r="K51" s="4">
        <v>0</v>
      </c>
      <c r="L51" s="6">
        <f t="shared" si="6"/>
        <v>180</v>
      </c>
      <c r="M51" s="11">
        <f t="shared" si="2"/>
        <v>0</v>
      </c>
    </row>
    <row r="52" spans="1:14">
      <c r="A52" s="2" t="s">
        <v>44</v>
      </c>
      <c r="E52" s="4">
        <v>2</v>
      </c>
      <c r="F52" s="6">
        <f>151.69*1.5</f>
        <v>227.535</v>
      </c>
      <c r="G52" s="10">
        <f t="shared" si="5"/>
        <v>455.07</v>
      </c>
      <c r="H52" s="2" t="str">
        <f>A52</f>
        <v>Baby changing table</v>
      </c>
      <c r="K52" s="4">
        <v>-1</v>
      </c>
      <c r="L52" s="6">
        <f>F52</f>
        <v>227.535</v>
      </c>
      <c r="M52" s="11">
        <f t="shared" si="2"/>
        <v>-227.535</v>
      </c>
    </row>
    <row r="53" spans="1:14">
      <c r="A53" s="2" t="s">
        <v>34</v>
      </c>
      <c r="E53" s="4">
        <v>2</v>
      </c>
      <c r="F53" s="6">
        <f>23*2</f>
        <v>46</v>
      </c>
      <c r="G53" s="10">
        <f>E53*F53</f>
        <v>92</v>
      </c>
      <c r="H53" s="2" t="s">
        <v>89</v>
      </c>
      <c r="K53" s="4">
        <v>0</v>
      </c>
      <c r="L53" s="6">
        <f t="shared" ref="L53:L59" si="8">F53</f>
        <v>46</v>
      </c>
      <c r="M53" s="11">
        <f t="shared" si="2"/>
        <v>0</v>
      </c>
    </row>
    <row r="54" spans="1:14">
      <c r="A54" t="s">
        <v>76</v>
      </c>
      <c r="E54" s="4">
        <v>3</v>
      </c>
      <c r="F54" s="6">
        <f>202.91-43.33</f>
        <v>159.57999999999998</v>
      </c>
      <c r="G54" s="10">
        <f>E54*F54</f>
        <v>478.73999999999995</v>
      </c>
      <c r="H54" s="31" t="str">
        <f>A54</f>
        <v>Cost difference toilet seat with lift hinge (Note 6)</v>
      </c>
      <c r="K54" s="4">
        <v>5</v>
      </c>
      <c r="L54" s="6">
        <f t="shared" si="8"/>
        <v>159.57999999999998</v>
      </c>
      <c r="M54" s="11">
        <f t="shared" si="2"/>
        <v>797.89999999999986</v>
      </c>
    </row>
    <row r="55" spans="1:14">
      <c r="A55" s="2" t="s">
        <v>37</v>
      </c>
      <c r="E55" s="4">
        <v>6</v>
      </c>
      <c r="F55" s="6">
        <f>126.63*2</f>
        <v>253.26</v>
      </c>
      <c r="G55" s="10">
        <f t="shared" si="5"/>
        <v>1519.56</v>
      </c>
      <c r="H55" s="2" t="s">
        <v>90</v>
      </c>
      <c r="K55" s="4">
        <v>0</v>
      </c>
      <c r="L55" s="6">
        <f t="shared" si="8"/>
        <v>253.26</v>
      </c>
      <c r="M55" s="11">
        <f t="shared" si="2"/>
        <v>0</v>
      </c>
    </row>
    <row r="56" spans="1:14">
      <c r="A56" s="2" t="s">
        <v>19</v>
      </c>
      <c r="E56" s="4">
        <v>2</v>
      </c>
      <c r="F56" s="6">
        <f>44.92*1.5</f>
        <v>67.38</v>
      </c>
      <c r="G56" s="10">
        <f t="shared" si="5"/>
        <v>134.76</v>
      </c>
      <c r="H56" s="2" t="s">
        <v>91</v>
      </c>
      <c r="K56" s="4">
        <v>0</v>
      </c>
      <c r="L56" s="6">
        <f t="shared" si="8"/>
        <v>67.38</v>
      </c>
      <c r="M56" s="11">
        <f t="shared" si="2"/>
        <v>0</v>
      </c>
    </row>
    <row r="57" spans="1:14">
      <c r="A57" s="2" t="s">
        <v>17</v>
      </c>
      <c r="E57" s="4">
        <v>6</v>
      </c>
      <c r="F57" s="6">
        <v>25</v>
      </c>
      <c r="G57" s="10">
        <f t="shared" si="5"/>
        <v>150</v>
      </c>
      <c r="H57" s="2" t="str">
        <f>A57</f>
        <v>Door signage</v>
      </c>
      <c r="K57" s="4">
        <v>-1</v>
      </c>
      <c r="L57" s="6">
        <f t="shared" si="8"/>
        <v>25</v>
      </c>
      <c r="M57" s="11">
        <f t="shared" si="2"/>
        <v>-25</v>
      </c>
    </row>
    <row r="58" spans="1:14">
      <c r="G58" s="10"/>
      <c r="L58" s="6"/>
      <c r="M58" s="11"/>
    </row>
    <row r="59" spans="1:14" s="37" customFormat="1">
      <c r="A59" s="37" t="s">
        <v>84</v>
      </c>
      <c r="E59" s="38">
        <f>E17</f>
        <v>-116.5</v>
      </c>
      <c r="F59" s="39">
        <f>2.29*40</f>
        <v>91.6</v>
      </c>
      <c r="G59" s="40">
        <f>E59*F59</f>
        <v>-10671.4</v>
      </c>
      <c r="H59" s="37" t="str">
        <f>A59</f>
        <v>Energy savings 40 yr building (Note 2)</v>
      </c>
      <c r="K59" s="38">
        <f>K17</f>
        <v>-65</v>
      </c>
      <c r="L59" s="39">
        <f t="shared" si="8"/>
        <v>91.6</v>
      </c>
      <c r="M59" s="41">
        <f t="shared" si="2"/>
        <v>-5954</v>
      </c>
    </row>
    <row r="60" spans="1:14">
      <c r="G60" s="10"/>
      <c r="L60" s="6"/>
      <c r="M60" s="11"/>
    </row>
    <row r="61" spans="1:14" s="20" customFormat="1">
      <c r="A61" s="20" t="s">
        <v>101</v>
      </c>
      <c r="E61" s="3"/>
      <c r="G61" s="34">
        <f>SUM(G16:G60)</f>
        <v>-5095.1955000000007</v>
      </c>
      <c r="H61" s="20" t="str">
        <f>A61</f>
        <v>Net estimated cost reduction with energy savings</v>
      </c>
      <c r="K61" s="3"/>
      <c r="M61" s="16">
        <f>SUM(M16:M60)</f>
        <v>-127.87549999999646</v>
      </c>
    </row>
    <row r="62" spans="1:14" s="1" customFormat="1">
      <c r="A62" s="1" t="s">
        <v>41</v>
      </c>
      <c r="E62" s="3"/>
      <c r="F62" s="7"/>
      <c r="G62" s="9">
        <f>G61-G59</f>
        <v>5576.2044999999989</v>
      </c>
      <c r="H62" s="1" t="str">
        <f>A62</f>
        <v>Net estimated additional cost without energy savings</v>
      </c>
      <c r="K62" s="3"/>
      <c r="M62" s="16">
        <f>M61-M59</f>
        <v>5826.1245000000035</v>
      </c>
    </row>
    <row r="63" spans="1:14" s="1" customFormat="1">
      <c r="A63" s="43"/>
      <c r="E63" s="3"/>
      <c r="F63" s="7"/>
      <c r="G63" s="9"/>
      <c r="I63" s="2"/>
      <c r="J63" s="2"/>
      <c r="K63" s="4"/>
      <c r="L63" s="2"/>
      <c r="M63" s="21"/>
      <c r="N63" s="2"/>
    </row>
    <row r="64" spans="1:14" s="1" customFormat="1">
      <c r="A64" s="1" t="s">
        <v>105</v>
      </c>
      <c r="E64" s="3"/>
      <c r="F64" s="7"/>
      <c r="G64" s="9"/>
      <c r="H64" s="1" t="str">
        <f>A64</f>
        <v>Traditional Separated Toilet Rooms estimated at $90,400.  Add</v>
      </c>
      <c r="I64" s="2"/>
      <c r="J64" s="2"/>
      <c r="K64" s="4"/>
      <c r="L64" s="2"/>
      <c r="M64" s="21"/>
      <c r="N64" s="2"/>
    </row>
    <row r="65" spans="1:14" s="1" customFormat="1">
      <c r="A65" s="16">
        <f>G62</f>
        <v>5576.2044999999989</v>
      </c>
      <c r="B65" s="1" t="s">
        <v>106</v>
      </c>
      <c r="E65" s="3"/>
      <c r="F65" s="7"/>
      <c r="G65" s="9"/>
      <c r="H65" s="16">
        <f>M62</f>
        <v>5826.1245000000035</v>
      </c>
      <c r="I65" s="1" t="str">
        <f>B65</f>
        <v>to this for the unisex single user toilet rooms for a</v>
      </c>
      <c r="J65" s="2"/>
      <c r="K65" s="4"/>
      <c r="L65" s="2"/>
      <c r="M65" s="21"/>
      <c r="N65" s="2"/>
    </row>
    <row r="66" spans="1:14" s="1" customFormat="1">
      <c r="A66" s="55">
        <f>(90400+G62)/90400</f>
        <v>1.0616836780973451</v>
      </c>
      <c r="B66" s="1" t="s">
        <v>113</v>
      </c>
      <c r="E66" s="3"/>
      <c r="F66" s="7"/>
      <c r="G66" s="9"/>
      <c r="H66" s="55">
        <f>(90400+M62)/90400</f>
        <v>1.0644482798672568</v>
      </c>
      <c r="I66" s="1" t="str">
        <f>B66</f>
        <v xml:space="preserve">times additional costs multiplier.  </v>
      </c>
      <c r="J66" s="2"/>
      <c r="K66" s="4"/>
      <c r="L66" s="2"/>
      <c r="M66" s="21"/>
      <c r="N66" s="2"/>
    </row>
    <row r="67" spans="1:14" s="1" customFormat="1">
      <c r="A67" s="43"/>
      <c r="E67" s="3"/>
      <c r="F67" s="7"/>
      <c r="G67" s="9"/>
      <c r="I67" s="2"/>
      <c r="J67" s="2"/>
      <c r="K67" s="4"/>
      <c r="L67" s="2"/>
      <c r="M67" s="21"/>
      <c r="N67" s="2"/>
    </row>
    <row r="68" spans="1:14" s="1" customFormat="1">
      <c r="A68" s="2" t="s">
        <v>21</v>
      </c>
      <c r="E68" s="3"/>
      <c r="F68" s="7"/>
      <c r="G68" s="9"/>
      <c r="H68" s="1" t="s">
        <v>107</v>
      </c>
      <c r="I68" s="2"/>
      <c r="J68" s="2"/>
      <c r="K68" s="4"/>
      <c r="L68" s="2"/>
      <c r="M68" s="21"/>
      <c r="N68" s="2"/>
    </row>
    <row r="69" spans="1:14" s="17" customFormat="1">
      <c r="A69" s="2" t="s">
        <v>62</v>
      </c>
      <c r="B69" s="1"/>
      <c r="C69" s="1"/>
      <c r="D69" s="1"/>
      <c r="E69" s="3"/>
      <c r="F69" s="7"/>
      <c r="G69" s="9"/>
      <c r="H69" s="1" t="s">
        <v>108</v>
      </c>
      <c r="I69" s="2"/>
      <c r="J69" s="2"/>
      <c r="K69" s="4"/>
      <c r="M69" s="23"/>
    </row>
    <row r="70" spans="1:14" s="17" customFormat="1">
      <c r="A70" s="2" t="s">
        <v>1</v>
      </c>
      <c r="B70" s="2"/>
      <c r="C70" s="2"/>
      <c r="D70" s="2"/>
      <c r="E70" s="4"/>
      <c r="F70" s="6"/>
      <c r="G70" s="19"/>
      <c r="H70" s="2"/>
      <c r="I70" s="2"/>
      <c r="J70" s="2"/>
      <c r="K70" s="4"/>
      <c r="M70" s="23"/>
    </row>
    <row r="71" spans="1:14" s="17" customFormat="1">
      <c r="A71" s="2" t="s">
        <v>2</v>
      </c>
      <c r="B71" s="2"/>
      <c r="C71" s="2"/>
      <c r="D71" s="2"/>
      <c r="E71" s="4"/>
      <c r="F71" s="6"/>
      <c r="G71" s="19"/>
      <c r="K71" s="19"/>
      <c r="M71" s="23"/>
    </row>
    <row r="72" spans="1:14" s="17" customFormat="1">
      <c r="A72" s="2" t="s">
        <v>13</v>
      </c>
      <c r="B72" s="2"/>
      <c r="C72" s="2"/>
      <c r="D72" s="2"/>
      <c r="E72" s="4"/>
      <c r="F72" s="6"/>
      <c r="G72" s="19"/>
      <c r="K72" s="19"/>
      <c r="M72" s="23"/>
    </row>
    <row r="73" spans="1:14" s="17" customFormat="1">
      <c r="A73" s="2" t="s">
        <v>26</v>
      </c>
      <c r="B73" s="2"/>
      <c r="C73" s="2"/>
      <c r="D73" s="2"/>
      <c r="E73" s="4"/>
      <c r="F73" s="6"/>
      <c r="G73" s="19"/>
      <c r="K73" s="19"/>
      <c r="M73" s="23"/>
    </row>
    <row r="74" spans="1:14" s="14" customFormat="1">
      <c r="A74" s="2" t="s">
        <v>63</v>
      </c>
      <c r="B74" s="2"/>
      <c r="C74" s="2"/>
      <c r="D74" s="2"/>
      <c r="E74" s="4"/>
      <c r="F74" s="6"/>
      <c r="G74" s="19"/>
      <c r="H74" s="17"/>
      <c r="K74" s="26"/>
      <c r="M74" s="24"/>
    </row>
    <row r="75" spans="1:14" s="14" customFormat="1">
      <c r="A75" s="2" t="s">
        <v>3</v>
      </c>
      <c r="B75" s="2"/>
      <c r="C75" s="2"/>
      <c r="D75" s="2"/>
      <c r="E75" s="4"/>
      <c r="F75" s="6"/>
      <c r="G75" s="26"/>
      <c r="K75" s="26"/>
      <c r="M75" s="24"/>
    </row>
    <row r="76" spans="1:14" s="14" customFormat="1">
      <c r="A76" s="2" t="s">
        <v>4</v>
      </c>
      <c r="B76" s="2"/>
      <c r="C76" s="2"/>
      <c r="D76" s="2"/>
      <c r="E76" s="4"/>
      <c r="F76" s="6"/>
      <c r="G76" s="26"/>
      <c r="K76" s="26"/>
      <c r="M76" s="24"/>
    </row>
    <row r="77" spans="1:14" s="14" customFormat="1" ht="15.75">
      <c r="A77" s="17" t="s">
        <v>42</v>
      </c>
      <c r="B77" s="17"/>
      <c r="E77" s="26"/>
      <c r="F77" s="15"/>
      <c r="G77" s="26"/>
      <c r="K77" s="26"/>
      <c r="M77" s="24"/>
    </row>
    <row r="78" spans="1:14" s="14" customFormat="1" ht="15.75">
      <c r="A78" s="17" t="s">
        <v>45</v>
      </c>
      <c r="B78" s="17"/>
      <c r="E78" s="26"/>
      <c r="F78" s="15"/>
      <c r="G78" s="26"/>
      <c r="K78" s="26"/>
      <c r="M78" s="24"/>
    </row>
    <row r="79" spans="1:14" s="14" customFormat="1" ht="12.75">
      <c r="A79" s="12" t="s">
        <v>39</v>
      </c>
      <c r="B79" s="12"/>
      <c r="E79" s="26"/>
      <c r="F79" s="15"/>
      <c r="G79" s="26"/>
      <c r="K79" s="26"/>
      <c r="M79" s="24"/>
    </row>
    <row r="80" spans="1:14" s="14" customFormat="1" ht="15">
      <c r="A80" s="31" t="s">
        <v>31</v>
      </c>
      <c r="B80" s="12"/>
      <c r="E80" s="26"/>
      <c r="F80" s="15"/>
      <c r="G80" s="26"/>
      <c r="K80" s="26"/>
      <c r="M80" s="24"/>
    </row>
    <row r="81" spans="1:13" s="14" customFormat="1" ht="15">
      <c r="A81" s="31" t="s">
        <v>32</v>
      </c>
      <c r="B81" s="12"/>
      <c r="E81" s="26"/>
      <c r="F81" s="15"/>
      <c r="G81" s="26"/>
      <c r="K81" s="26"/>
      <c r="M81" s="24"/>
    </row>
    <row r="82" spans="1:13" s="14" customFormat="1" ht="15">
      <c r="A82" s="31" t="s">
        <v>16</v>
      </c>
      <c r="B82" s="12"/>
      <c r="E82" s="26"/>
      <c r="F82" s="15"/>
      <c r="G82" s="26"/>
      <c r="K82" s="26"/>
      <c r="M82" s="24"/>
    </row>
    <row r="83" spans="1:13">
      <c r="A83" s="31" t="s">
        <v>51</v>
      </c>
      <c r="B83" s="12"/>
      <c r="C83" s="14"/>
      <c r="D83" s="14"/>
      <c r="E83" s="26"/>
      <c r="F83" s="15"/>
      <c r="G83" s="26"/>
      <c r="H83" s="14"/>
    </row>
    <row r="84" spans="1:13" s="17" customFormat="1">
      <c r="A84" s="2" t="s">
        <v>7</v>
      </c>
      <c r="B84" s="2"/>
      <c r="C84" s="2"/>
      <c r="D84" s="2"/>
      <c r="E84" s="4"/>
      <c r="F84" s="6"/>
      <c r="G84" s="4"/>
      <c r="H84" s="2"/>
      <c r="K84" s="19"/>
      <c r="M84" s="23"/>
    </row>
    <row r="85" spans="1:13">
      <c r="A85" s="17" t="s">
        <v>8</v>
      </c>
      <c r="B85" s="17"/>
      <c r="C85" s="17"/>
      <c r="D85" s="17"/>
      <c r="E85" s="19"/>
      <c r="F85" s="18"/>
      <c r="G85" s="17"/>
      <c r="H85" s="17"/>
    </row>
    <row r="86" spans="1:13">
      <c r="A86" s="2" t="s">
        <v>23</v>
      </c>
    </row>
    <row r="87" spans="1:13" s="14" customFormat="1">
      <c r="A87" s="2" t="s">
        <v>30</v>
      </c>
      <c r="B87" s="2"/>
      <c r="C87" s="2"/>
      <c r="D87" s="2"/>
      <c r="E87" s="4"/>
      <c r="F87" s="6"/>
      <c r="G87" s="2"/>
      <c r="H87" s="2"/>
      <c r="K87" s="26"/>
      <c r="M87" s="24"/>
    </row>
    <row r="88" spans="1:13" s="17" customFormat="1" ht="15.75">
      <c r="A88" s="12" t="s">
        <v>33</v>
      </c>
      <c r="B88" s="14"/>
      <c r="C88" s="14"/>
      <c r="D88" s="14"/>
      <c r="E88" s="26"/>
      <c r="F88" s="15"/>
      <c r="G88" s="14"/>
      <c r="H88" s="14"/>
      <c r="K88" s="19"/>
      <c r="M88" s="23"/>
    </row>
    <row r="89" spans="1:13" s="17" customFormat="1" ht="15.75">
      <c r="A89" s="17" t="s">
        <v>9</v>
      </c>
      <c r="E89" s="19"/>
      <c r="F89" s="18"/>
      <c r="K89" s="19"/>
      <c r="M89" s="23"/>
    </row>
    <row r="90" spans="1:13">
      <c r="A90" s="17" t="s">
        <v>20</v>
      </c>
      <c r="B90" s="17"/>
      <c r="C90" s="17"/>
      <c r="D90" s="17"/>
      <c r="E90" s="19"/>
      <c r="F90" s="18"/>
      <c r="G90" s="17"/>
      <c r="H90" s="17"/>
    </row>
    <row r="91" spans="1:13">
      <c r="A91" s="2" t="s">
        <v>21</v>
      </c>
    </row>
    <row r="92" spans="1:13" s="17" customFormat="1">
      <c r="A92" s="2" t="s">
        <v>68</v>
      </c>
      <c r="B92" s="2"/>
      <c r="C92" s="2"/>
      <c r="D92" s="2"/>
      <c r="E92" s="4"/>
      <c r="F92" s="6"/>
      <c r="G92" s="2"/>
      <c r="H92" s="2"/>
      <c r="K92" s="19"/>
      <c r="M92" s="23"/>
    </row>
    <row r="93" spans="1:13" s="17" customFormat="1">
      <c r="A93" s="2"/>
      <c r="B93" s="2"/>
      <c r="C93" s="2"/>
      <c r="D93" s="2"/>
      <c r="E93" s="4"/>
      <c r="F93" s="6"/>
      <c r="G93" s="2"/>
      <c r="K93" s="19"/>
      <c r="M93" s="23"/>
    </row>
    <row r="94" spans="1:13" s="17" customFormat="1" ht="21">
      <c r="A94" s="49" t="s">
        <v>78</v>
      </c>
      <c r="E94" s="19"/>
      <c r="F94" s="18"/>
      <c r="K94" s="19"/>
      <c r="M94" s="23"/>
    </row>
    <row r="95" spans="1:13" s="17" customFormat="1" ht="15.75">
      <c r="E95" s="19"/>
      <c r="F95" s="18"/>
      <c r="K95" s="19"/>
      <c r="M95" s="23"/>
    </row>
    <row r="96" spans="1:13" s="17" customFormat="1" ht="15.75">
      <c r="A96" s="17" t="s">
        <v>79</v>
      </c>
      <c r="B96" s="12"/>
      <c r="C96" s="12"/>
      <c r="D96" s="12"/>
      <c r="E96" s="27"/>
      <c r="F96" s="18"/>
      <c r="K96" s="19"/>
      <c r="M96" s="23"/>
    </row>
    <row r="97" spans="1:13" s="31" customFormat="1" ht="15.75">
      <c r="A97" s="17" t="s">
        <v>109</v>
      </c>
      <c r="B97" s="12"/>
      <c r="C97" s="12"/>
      <c r="D97" s="12"/>
      <c r="E97" s="27"/>
      <c r="F97" s="18"/>
      <c r="G97" s="17"/>
      <c r="H97" s="17"/>
      <c r="K97" s="32"/>
      <c r="M97" s="36"/>
    </row>
    <row r="98" spans="1:13" s="14" customFormat="1" ht="15">
      <c r="A98" s="42" t="s">
        <v>53</v>
      </c>
      <c r="B98" s="12"/>
      <c r="C98" s="12"/>
      <c r="D98" s="12"/>
      <c r="E98" s="27"/>
      <c r="F98" s="33"/>
      <c r="G98" s="35"/>
      <c r="H98" s="31"/>
      <c r="K98" s="26"/>
      <c r="M98" s="24"/>
    </row>
    <row r="99" spans="1:13" s="14" customFormat="1" ht="15.75">
      <c r="A99" s="17" t="s">
        <v>52</v>
      </c>
      <c r="B99" s="12"/>
      <c r="C99" s="12"/>
      <c r="D99" s="12"/>
      <c r="E99" s="27"/>
      <c r="F99" s="15"/>
      <c r="G99" s="25"/>
      <c r="K99" s="26"/>
      <c r="M99" s="24"/>
    </row>
    <row r="100" spans="1:13">
      <c r="A100" s="12" t="s">
        <v>83</v>
      </c>
      <c r="H100" s="14"/>
    </row>
    <row r="101" spans="1:13" s="12" customFormat="1">
      <c r="A101" t="s">
        <v>114</v>
      </c>
      <c r="E101" s="27"/>
      <c r="F101" s="13"/>
      <c r="H101" s="2"/>
      <c r="K101" s="27"/>
      <c r="M101" s="22"/>
    </row>
    <row r="102" spans="1:13">
      <c r="A102" s="17" t="s">
        <v>60</v>
      </c>
      <c r="B102" s="12"/>
      <c r="C102" s="12"/>
      <c r="D102" s="12"/>
      <c r="E102" s="27"/>
      <c r="F102" s="13"/>
      <c r="G102" s="12"/>
      <c r="H102" s="12"/>
    </row>
    <row r="103" spans="1:13">
      <c r="A103" s="17" t="s">
        <v>115</v>
      </c>
      <c r="B103" s="12"/>
      <c r="C103" s="12"/>
      <c r="D103" s="12"/>
      <c r="E103" s="27"/>
      <c r="F103" s="13"/>
      <c r="G103" s="12"/>
      <c r="H103" s="12"/>
    </row>
    <row r="104" spans="1:13">
      <c r="A104" t="s">
        <v>80</v>
      </c>
    </row>
    <row r="105" spans="1:13">
      <c r="A105" t="s">
        <v>81</v>
      </c>
      <c r="G105" s="4"/>
    </row>
    <row r="106" spans="1:13" s="51" customFormat="1">
      <c r="A106" s="50" t="s">
        <v>98</v>
      </c>
      <c r="E106" s="52"/>
      <c r="F106" s="53"/>
      <c r="H106" s="2"/>
      <c r="K106" s="52"/>
      <c r="M106" s="54"/>
    </row>
    <row r="107" spans="1:13" s="14" customFormat="1" ht="15">
      <c r="A107" s="14" t="s">
        <v>82</v>
      </c>
      <c r="E107" s="26"/>
      <c r="F107" s="15"/>
      <c r="H107" s="51"/>
      <c r="K107" s="26"/>
      <c r="M107" s="24"/>
    </row>
    <row r="108" spans="1:13">
      <c r="A108" s="14" t="s">
        <v>96</v>
      </c>
      <c r="H108" s="14"/>
    </row>
    <row r="109" spans="1:13">
      <c r="A109" s="30" t="s">
        <v>97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</dc:creator>
  <cp:lastModifiedBy>Bruce</cp:lastModifiedBy>
  <cp:lastPrinted>2016-10-19T15:52:32Z</cp:lastPrinted>
  <dcterms:created xsi:type="dcterms:W3CDTF">2016-06-21T21:31:59Z</dcterms:created>
  <dcterms:modified xsi:type="dcterms:W3CDTF">2017-01-24T03:57:55Z</dcterms:modified>
</cp:coreProperties>
</file>