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5075" windowHeight="76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8" i="1"/>
  <c r="G58" s="1"/>
  <c r="E32"/>
  <c r="E31"/>
  <c r="E30"/>
  <c r="F32"/>
  <c r="F31"/>
  <c r="F30"/>
  <c r="E48"/>
  <c r="E45"/>
  <c r="E47"/>
  <c r="E46"/>
  <c r="E42"/>
  <c r="E44"/>
  <c r="F64"/>
  <c r="F60"/>
  <c r="G60" s="1"/>
  <c r="G35"/>
  <c r="F37"/>
  <c r="F38" l="1"/>
  <c r="E37"/>
  <c r="G37" s="1"/>
  <c r="E38" l="1"/>
  <c r="G38" s="1"/>
  <c r="F62"/>
  <c r="F59"/>
  <c r="F56"/>
  <c r="F41"/>
  <c r="G41" s="1"/>
  <c r="F33"/>
  <c r="F29"/>
  <c r="F25"/>
  <c r="F21"/>
  <c r="F22"/>
  <c r="F24"/>
  <c r="F23"/>
  <c r="F40"/>
  <c r="G40" s="1"/>
  <c r="F26"/>
  <c r="F27"/>
  <c r="F39"/>
  <c r="F61"/>
  <c r="F46"/>
  <c r="G46"/>
  <c r="G39"/>
  <c r="F63"/>
  <c r="F57"/>
  <c r="F66"/>
  <c r="F54"/>
  <c r="E33"/>
  <c r="F47" l="1"/>
  <c r="F48"/>
  <c r="G24"/>
  <c r="G29"/>
  <c r="G47"/>
  <c r="G54"/>
  <c r="G33"/>
  <c r="G30"/>
  <c r="G32"/>
  <c r="G31"/>
  <c r="F51"/>
  <c r="G51" s="1"/>
  <c r="G27"/>
  <c r="G61"/>
  <c r="E36"/>
  <c r="G59"/>
  <c r="G13"/>
  <c r="E23" l="1"/>
  <c r="G23" s="1"/>
  <c r="E22"/>
  <c r="G22" s="1"/>
  <c r="E21"/>
  <c r="G25"/>
  <c r="G26"/>
  <c r="E43"/>
  <c r="F43"/>
  <c r="F45" s="1"/>
  <c r="G45" s="1"/>
  <c r="E20"/>
  <c r="F20"/>
  <c r="F19"/>
  <c r="F34"/>
  <c r="G56"/>
  <c r="E19"/>
  <c r="E72" s="1"/>
  <c r="G17"/>
  <c r="F36"/>
  <c r="F42"/>
  <c r="F44" s="1"/>
  <c r="F49"/>
  <c r="F52" s="1"/>
  <c r="F50"/>
  <c r="F53"/>
  <c r="G57"/>
  <c r="G62"/>
  <c r="G63"/>
  <c r="G64"/>
  <c r="G44" l="1"/>
  <c r="G48"/>
  <c r="G55"/>
  <c r="G52"/>
  <c r="G49"/>
  <c r="G34"/>
  <c r="G53"/>
  <c r="G50"/>
  <c r="G43"/>
  <c r="G20"/>
  <c r="G42"/>
  <c r="E66"/>
  <c r="G66" s="1"/>
  <c r="G19"/>
  <c r="G36"/>
  <c r="G21" l="1"/>
  <c r="G68" s="1"/>
  <c r="G69" s="1"/>
  <c r="A76" l="1"/>
  <c r="A75"/>
</calcChain>
</file>

<file path=xl/sharedStrings.xml><?xml version="1.0" encoding="utf-8"?>
<sst xmlns="http://schemas.openxmlformats.org/spreadsheetml/2006/main" count="78" uniqueCount="78">
  <si>
    <t xml:space="preserve">Square Feet </t>
  </si>
  <si>
    <t>Electrical receptace</t>
  </si>
  <si>
    <t>Quanity</t>
  </si>
  <si>
    <t>Cost</t>
  </si>
  <si>
    <t>Door frame</t>
  </si>
  <si>
    <t>Total</t>
  </si>
  <si>
    <t>Item</t>
  </si>
  <si>
    <t>Door signage</t>
  </si>
  <si>
    <t>Lighting fixture</t>
  </si>
  <si>
    <t>Soap dispenser</t>
  </si>
  <si>
    <t>Drop Ceiling</t>
  </si>
  <si>
    <t>Floor tile</t>
  </si>
  <si>
    <t>Concrete floor slab</t>
  </si>
  <si>
    <t>Grab bar set</t>
  </si>
  <si>
    <t>Mirror</t>
  </si>
  <si>
    <t>Toilet seat cover dispenser</t>
  </si>
  <si>
    <t>Paper towell dispenser &amp; waste</t>
  </si>
  <si>
    <t>Difference in square footage</t>
  </si>
  <si>
    <t>Net estimated additional cost without energy savings</t>
  </si>
  <si>
    <t>Baby changing table</t>
  </si>
  <si>
    <t>3" cast iron sanitary piping sold as 10' lengths</t>
  </si>
  <si>
    <t>4" cast iron sanitary piping sold as 10' lengths</t>
  </si>
  <si>
    <t>3/4" hot water supply piping sold at 10' lengths</t>
  </si>
  <si>
    <t>3/4" cold water supply piping sold at 10' lengths</t>
  </si>
  <si>
    <t>Urinal partition gang</t>
  </si>
  <si>
    <t>Light switch</t>
  </si>
  <si>
    <t>Exhaust ductwork</t>
  </si>
  <si>
    <t>Ceiling exhaust grille</t>
  </si>
  <si>
    <t>Flat built up roof</t>
  </si>
  <si>
    <t>Exhaust duct takeoff fittings for each grille</t>
  </si>
  <si>
    <t>Notes</t>
  </si>
  <si>
    <t>Net estimated cost reduction with energy savings</t>
  </si>
  <si>
    <t xml:space="preserve">Roof steel structure estimated </t>
  </si>
  <si>
    <t>Traditional Separated Toilet Rooms estimated at $90,400.  Add</t>
  </si>
  <si>
    <t>Clustered single user toilet rooms square footage</t>
  </si>
  <si>
    <t>Door Hinges</t>
  </si>
  <si>
    <t>2 water closets replace 2 urinals - same cost</t>
  </si>
  <si>
    <t>Lavatory</t>
  </si>
  <si>
    <t xml:space="preserve">Wall hung water closet support bracket </t>
  </si>
  <si>
    <t>8 fixture clustered Unisex Single User Toilet Rooms versus</t>
  </si>
  <si>
    <t>Floor drain (Note 2)</t>
  </si>
  <si>
    <t>Door louver exhaust make-up air</t>
  </si>
  <si>
    <t>Sanitary napkin disposal bin</t>
  </si>
  <si>
    <t>Locking Door Handle, occupied/unoccupied display</t>
  </si>
  <si>
    <t>Horn strobe</t>
  </si>
  <si>
    <t>to this for the unisex single user toilet rooms for a +</t>
  </si>
  <si>
    <t xml:space="preserve">times cost multiplier.  </t>
  </si>
  <si>
    <t>Framed stud wall gang</t>
  </si>
  <si>
    <t>Drywall both sides of stud wall gang</t>
  </si>
  <si>
    <t>4' high moisture resistant wall tile accessible rooms</t>
  </si>
  <si>
    <t>4' high moisture resistant wall tile standard rooms</t>
  </si>
  <si>
    <t>4' high moisture resistant wall tile gang</t>
  </si>
  <si>
    <t xml:space="preserve">1) Exhaust make-up air allowed per 2015 IMC Section 601.2, Exception 1, </t>
  </si>
  <si>
    <t xml:space="preserve">feet of commercial floor space. </t>
  </si>
  <si>
    <t xml:space="preserve">Door </t>
  </si>
  <si>
    <t xml:space="preserve">2) Floor drain, per IPC 412, only required in multi-family dwelling central washing facilities.  </t>
  </si>
  <si>
    <t>Air Movement in Egress Elements. Undercut door 1/2" or 3/4".</t>
  </si>
  <si>
    <t>Gang traditional separated restroom square footage</t>
  </si>
  <si>
    <t>Framed stud wall (Note 3)</t>
  </si>
  <si>
    <t>Cost difference toilet seat with lift hinge (Note 4)</t>
  </si>
  <si>
    <t>4) Kohler K-4672-0 elongated, open front, spring lift toilet seat versus non-lift Kohler K-4731-SA-0.</t>
  </si>
  <si>
    <t>5) Department Of Energy Average Annual Energy Expenditures of $2.29 per Square</t>
  </si>
  <si>
    <t>Energy savings 40 yr building (Note 5)</t>
  </si>
  <si>
    <t xml:space="preserve">size is reduced during design by </t>
  </si>
  <si>
    <t xml:space="preserve">square feet. </t>
  </si>
  <si>
    <t xml:space="preserve">Lift hing seats allowed for non-accessible toilets yet not accessible per 2010 ADA Section 604.4. </t>
  </si>
  <si>
    <t>ADA water closet partition gang</t>
  </si>
  <si>
    <t xml:space="preserve">Sprinkler head </t>
  </si>
  <si>
    <t>Non-ADA water closet partition gang</t>
  </si>
  <si>
    <t>Drywall both sides of stud wall</t>
  </si>
  <si>
    <t xml:space="preserve">Toilet tissue dispenser </t>
  </si>
  <si>
    <t>3) Partition manufacuturers can also provide full height materials.</t>
  </si>
  <si>
    <t xml:space="preserve">Gang Men &amp; Women Traditional Separated  </t>
  </si>
  <si>
    <t xml:space="preserve">Energy savings realized if a new building heated/air conditioned </t>
  </si>
  <si>
    <t xml:space="preserve">Estimated Cost differential quotes based upon SC zip code 29803 </t>
  </si>
  <si>
    <t>and the attached architectural drawing designed around 2018 IPC</t>
  </si>
  <si>
    <t xml:space="preserve">this code in advance of state adoption. </t>
  </si>
  <si>
    <t>Section 403.1.2.  Alternative means and methods can allow using</t>
  </si>
</sst>
</file>

<file path=xl/styles.xml><?xml version="1.0" encoding="utf-8"?>
<styleSheet xmlns="http://schemas.openxmlformats.org/spreadsheetml/2006/main">
  <numFmts count="5">
    <numFmt numFmtId="164" formatCode="0.0"/>
    <numFmt numFmtId="165" formatCode="&quot;$&quot;#,##0.0"/>
    <numFmt numFmtId="166" formatCode="&quot;$&quot;#,##0.00"/>
    <numFmt numFmtId="167" formatCode="&quot;$&quot;#,##0"/>
    <numFmt numFmtId="168" formatCode="#,##0.0"/>
  </numFmts>
  <fonts count="1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2" fillId="0" borderId="0" xfId="0" applyNumberFormat="1" applyFont="1"/>
    <xf numFmtId="9" fontId="2" fillId="0" borderId="0" xfId="0" applyNumberFormat="1" applyFont="1"/>
    <xf numFmtId="166" fontId="2" fillId="0" borderId="0" xfId="0" applyNumberFormat="1" applyFont="1"/>
    <xf numFmtId="166" fontId="1" fillId="0" borderId="0" xfId="0" applyNumberFormat="1" applyFont="1"/>
    <xf numFmtId="166" fontId="2" fillId="0" borderId="0" xfId="0" applyNumberFormat="1" applyFont="1" applyFill="1" applyBorder="1"/>
    <xf numFmtId="167" fontId="1" fillId="0" borderId="0" xfId="0" applyNumberFormat="1" applyFont="1" applyFill="1" applyBorder="1"/>
    <xf numFmtId="167" fontId="2" fillId="0" borderId="0" xfId="0" applyNumberFormat="1" applyFont="1" applyFill="1" applyBorder="1"/>
    <xf numFmtId="167" fontId="2" fillId="0" borderId="0" xfId="0" applyNumberFormat="1" applyFont="1"/>
    <xf numFmtId="0" fontId="3" fillId="0" borderId="0" xfId="0" applyFont="1"/>
    <xf numFmtId="166" fontId="3" fillId="0" borderId="0" xfId="0" applyNumberFormat="1" applyFont="1"/>
    <xf numFmtId="0" fontId="4" fillId="0" borderId="0" xfId="0" applyFont="1"/>
    <xf numFmtId="166" fontId="4" fillId="0" borderId="0" xfId="0" applyNumberFormat="1" applyFont="1"/>
    <xf numFmtId="167" fontId="1" fillId="0" borderId="0" xfId="0" applyNumberFormat="1" applyFont="1"/>
    <xf numFmtId="0" fontId="5" fillId="0" borderId="0" xfId="0" applyFont="1"/>
    <xf numFmtId="166" fontId="5" fillId="0" borderId="0" xfId="0" applyNumberFormat="1" applyFont="1"/>
    <xf numFmtId="164" fontId="5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5" fillId="0" borderId="0" xfId="0" applyNumberFormat="1" applyFont="1"/>
    <xf numFmtId="3" fontId="4" fillId="0" borderId="0" xfId="0" applyNumberFormat="1" applyFont="1"/>
    <xf numFmtId="165" fontId="4" fillId="0" borderId="0" xfId="0" applyNumberFormat="1" applyFont="1" applyFill="1" applyBorder="1"/>
    <xf numFmtId="164" fontId="4" fillId="0" borderId="0" xfId="0" applyNumberFormat="1" applyFont="1"/>
    <xf numFmtId="164" fontId="3" fillId="0" borderId="0" xfId="0" applyNumberFormat="1" applyFont="1"/>
    <xf numFmtId="4" fontId="2" fillId="0" borderId="0" xfId="0" applyNumberFormat="1" applyFont="1"/>
    <xf numFmtId="168" fontId="2" fillId="0" borderId="0" xfId="0" applyNumberFormat="1" applyFont="1"/>
    <xf numFmtId="0" fontId="6" fillId="0" borderId="0" xfId="0" applyFont="1"/>
    <xf numFmtId="0" fontId="0" fillId="0" borderId="0" xfId="0" applyFont="1"/>
    <xf numFmtId="164" fontId="0" fillId="0" borderId="0" xfId="0" applyNumberFormat="1" applyFont="1"/>
    <xf numFmtId="166" fontId="0" fillId="0" borderId="0" xfId="0" applyNumberFormat="1" applyFont="1"/>
    <xf numFmtId="167" fontId="1" fillId="0" borderId="1" xfId="0" applyNumberFormat="1" applyFont="1" applyFill="1" applyBorder="1"/>
    <xf numFmtId="167" fontId="0" fillId="0" borderId="0" xfId="0" applyNumberFormat="1" applyFont="1" applyFill="1" applyBorder="1"/>
    <xf numFmtId="3" fontId="0" fillId="0" borderId="0" xfId="0" applyNumberFormat="1" applyFont="1"/>
    <xf numFmtId="0" fontId="7" fillId="0" borderId="0" xfId="0" applyFont="1"/>
    <xf numFmtId="164" fontId="7" fillId="0" borderId="0" xfId="0" applyNumberFormat="1" applyFont="1"/>
    <xf numFmtId="166" fontId="7" fillId="0" borderId="0" xfId="0" applyNumberFormat="1" applyFont="1"/>
    <xf numFmtId="167" fontId="7" fillId="0" borderId="0" xfId="0" applyNumberFormat="1" applyFont="1" applyFill="1" applyBorder="1"/>
    <xf numFmtId="167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166" fontId="10" fillId="0" borderId="0" xfId="0" applyNumberFormat="1" applyFont="1"/>
    <xf numFmtId="167" fontId="10" fillId="0" borderId="0" xfId="0" applyNumberFormat="1" applyFont="1" applyFill="1" applyBorder="1"/>
    <xf numFmtId="3" fontId="10" fillId="0" borderId="0" xfId="0" applyNumberFormat="1" applyFont="1"/>
    <xf numFmtId="0" fontId="12" fillId="0" borderId="0" xfId="0" applyFont="1"/>
    <xf numFmtId="0" fontId="11" fillId="0" borderId="0" xfId="1" applyFill="1" applyAlignment="1" applyProtection="1"/>
    <xf numFmtId="0" fontId="0" fillId="0" borderId="0" xfId="0" applyFont="1" applyFill="1"/>
    <xf numFmtId="164" fontId="0" fillId="0" borderId="0" xfId="0" applyNumberFormat="1" applyFont="1" applyFill="1"/>
    <xf numFmtId="166" fontId="0" fillId="0" borderId="0" xfId="0" applyNumberFormat="1" applyFont="1" applyFill="1"/>
    <xf numFmtId="3" fontId="0" fillId="0" borderId="0" xfId="0" applyNumberFormat="1" applyFont="1" applyFill="1"/>
    <xf numFmtId="4" fontId="1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3" fontId="7" fillId="0" borderId="0" xfId="0" applyNumberFormat="1" applyFont="1"/>
    <xf numFmtId="167" fontId="15" fillId="0" borderId="0" xfId="0" applyNumberFormat="1" applyFont="1" applyFill="1" applyBorder="1"/>
    <xf numFmtId="167" fontId="15" fillId="0" borderId="0" xfId="0" applyNumberFormat="1" applyFont="1"/>
    <xf numFmtId="0" fontId="16" fillId="0" borderId="0" xfId="0" applyFont="1"/>
    <xf numFmtId="0" fontId="17" fillId="0" borderId="0" xfId="0" applyFont="1"/>
    <xf numFmtId="164" fontId="14" fillId="0" borderId="0" xfId="0" applyNumberFormat="1" applyFont="1"/>
    <xf numFmtId="166" fontId="14" fillId="0" borderId="0" xfId="0" applyNumberFormat="1" applyFont="1"/>
    <xf numFmtId="167" fontId="14" fillId="0" borderId="0" xfId="0" applyNumberFormat="1" applyFont="1" applyFill="1" applyBorder="1"/>
    <xf numFmtId="0" fontId="18" fillId="0" borderId="0" xfId="0" applyFont="1"/>
    <xf numFmtId="164" fontId="12" fillId="0" borderId="0" xfId="0" applyNumberFormat="1" applyFont="1"/>
    <xf numFmtId="3" fontId="12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workbookViewId="0">
      <selection activeCell="G4" sqref="G4"/>
    </sheetView>
  </sheetViews>
  <sheetFormatPr defaultRowHeight="18.75"/>
  <cols>
    <col min="1" max="1" width="10.7109375" style="2" bestFit="1" customWidth="1"/>
    <col min="2" max="2" width="9.140625" style="2"/>
    <col min="3" max="3" width="9.7109375" style="2" customWidth="1"/>
    <col min="4" max="4" width="14.140625" style="2" customWidth="1"/>
    <col min="5" max="5" width="10.42578125" style="4" customWidth="1"/>
    <col min="6" max="6" width="15" style="6" customWidth="1"/>
    <col min="7" max="7" width="13.85546875" style="2" customWidth="1"/>
    <col min="8" max="8" width="16.42578125" style="2" customWidth="1"/>
    <col min="9" max="9" width="11.140625" style="2" customWidth="1"/>
    <col min="10" max="10" width="18.7109375" style="2" customWidth="1"/>
    <col min="11" max="11" width="10.140625" style="4" customWidth="1"/>
    <col min="12" max="12" width="12.7109375" style="2" bestFit="1" customWidth="1"/>
    <col min="13" max="13" width="13.140625" style="21" customWidth="1"/>
    <col min="14" max="16384" width="9.140625" style="2"/>
  </cols>
  <sheetData>
    <row r="1" spans="1:13" s="1" customFormat="1" ht="21">
      <c r="A1" s="57" t="s">
        <v>74</v>
      </c>
      <c r="E1" s="3"/>
      <c r="F1" s="7"/>
      <c r="G1" s="9"/>
      <c r="K1" s="3"/>
      <c r="M1" s="20"/>
    </row>
    <row r="2" spans="1:13" s="49" customFormat="1" ht="21">
      <c r="A2" s="57" t="s">
        <v>75</v>
      </c>
      <c r="B2" s="57"/>
      <c r="C2" s="57"/>
      <c r="D2" s="57"/>
      <c r="E2" s="64"/>
      <c r="F2" s="65"/>
      <c r="G2" s="66"/>
      <c r="H2" s="67"/>
      <c r="K2" s="68"/>
      <c r="M2" s="69"/>
    </row>
    <row r="3" spans="1:13" s="49" customFormat="1" ht="21">
      <c r="A3" s="57" t="s">
        <v>77</v>
      </c>
      <c r="B3" s="57"/>
      <c r="C3" s="57"/>
      <c r="D3" s="57"/>
      <c r="E3" s="64"/>
      <c r="F3" s="65"/>
      <c r="G3" s="66"/>
      <c r="H3" s="67"/>
      <c r="K3" s="68"/>
      <c r="M3" s="69"/>
    </row>
    <row r="4" spans="1:13" s="49" customFormat="1" ht="21">
      <c r="A4" s="57" t="s">
        <v>76</v>
      </c>
      <c r="B4" s="57"/>
      <c r="C4" s="57"/>
      <c r="D4" s="57"/>
      <c r="E4" s="64"/>
      <c r="F4" s="65"/>
      <c r="G4" s="66"/>
      <c r="H4" s="67"/>
      <c r="K4" s="68"/>
      <c r="M4" s="69"/>
    </row>
    <row r="5" spans="1:13">
      <c r="A5" s="1"/>
      <c r="B5" s="1"/>
      <c r="C5" s="1"/>
      <c r="D5" s="1"/>
      <c r="E5" s="3"/>
      <c r="F5" s="7"/>
      <c r="G5" s="9"/>
      <c r="H5" s="63"/>
    </row>
    <row r="6" spans="1:13" s="44" customFormat="1" ht="21">
      <c r="A6" s="57" t="s">
        <v>39</v>
      </c>
      <c r="B6" s="57"/>
      <c r="C6" s="57"/>
      <c r="E6" s="45"/>
      <c r="F6" s="46"/>
      <c r="G6" s="47"/>
      <c r="K6" s="45"/>
      <c r="M6" s="48"/>
    </row>
    <row r="7" spans="1:13" s="44" customFormat="1" ht="21">
      <c r="A7" s="57" t="s">
        <v>72</v>
      </c>
      <c r="B7" s="57"/>
      <c r="C7" s="57"/>
      <c r="E7" s="45"/>
      <c r="F7" s="46"/>
      <c r="K7" s="45"/>
      <c r="M7" s="48"/>
    </row>
    <row r="8" spans="1:13">
      <c r="A8" s="17"/>
      <c r="B8" s="17"/>
      <c r="H8" s="17"/>
    </row>
    <row r="9" spans="1:13">
      <c r="A9" s="1"/>
      <c r="G9" s="3" t="s">
        <v>0</v>
      </c>
      <c r="M9" s="20"/>
    </row>
    <row r="10" spans="1:13">
      <c r="G10" s="4"/>
    </row>
    <row r="11" spans="1:13">
      <c r="A11" s="2" t="s">
        <v>57</v>
      </c>
      <c r="G11" s="4">
        <v>452</v>
      </c>
      <c r="H11" s="4"/>
      <c r="M11" s="29"/>
    </row>
    <row r="12" spans="1:13">
      <c r="A12" s="2" t="s">
        <v>34</v>
      </c>
      <c r="G12" s="4">
        <v>335.5</v>
      </c>
      <c r="H12" s="4"/>
      <c r="M12" s="29"/>
    </row>
    <row r="13" spans="1:13">
      <c r="A13" s="2" t="s">
        <v>17</v>
      </c>
      <c r="G13" s="4">
        <f>G11-G12</f>
        <v>116.5</v>
      </c>
      <c r="H13" s="5"/>
      <c r="M13" s="29"/>
    </row>
    <row r="14" spans="1:13">
      <c r="G14" s="4"/>
      <c r="H14" s="5"/>
      <c r="M14" s="29"/>
    </row>
    <row r="15" spans="1:13" s="1" customFormat="1">
      <c r="A15" s="2"/>
      <c r="E15" s="3"/>
      <c r="F15" s="7"/>
      <c r="G15" s="9"/>
      <c r="K15" s="3"/>
      <c r="M15" s="20"/>
    </row>
    <row r="16" spans="1:13" s="1" customFormat="1">
      <c r="E16" s="3" t="s">
        <v>2</v>
      </c>
      <c r="F16" s="7" t="s">
        <v>6</v>
      </c>
      <c r="G16" s="9" t="s">
        <v>5</v>
      </c>
      <c r="K16" s="3"/>
      <c r="L16" s="16"/>
      <c r="M16" s="20"/>
    </row>
    <row r="17" spans="1:13" s="1" customFormat="1">
      <c r="E17" s="3"/>
      <c r="F17" s="7" t="s">
        <v>3</v>
      </c>
      <c r="G17" s="9" t="str">
        <f>F17</f>
        <v>Cost</v>
      </c>
      <c r="I17" s="2"/>
      <c r="K17" s="3"/>
      <c r="L17" s="16"/>
      <c r="M17" s="20"/>
    </row>
    <row r="18" spans="1:13">
      <c r="G18" s="10"/>
      <c r="M18" s="11"/>
    </row>
    <row r="19" spans="1:13">
      <c r="A19" s="2" t="s">
        <v>12</v>
      </c>
      <c r="E19" s="4">
        <f>-G13</f>
        <v>-116.5</v>
      </c>
      <c r="F19" s="6">
        <f>(7.89+5.92)/2</f>
        <v>6.9049999999999994</v>
      </c>
      <c r="G19" s="10">
        <f>E19*F19</f>
        <v>-804.43249999999989</v>
      </c>
      <c r="L19" s="6"/>
      <c r="M19" s="11"/>
    </row>
    <row r="20" spans="1:13">
      <c r="A20" s="2" t="s">
        <v>11</v>
      </c>
      <c r="E20" s="4">
        <f>-G13</f>
        <v>-116.5</v>
      </c>
      <c r="F20" s="6">
        <f>(19.02+10.81)/2</f>
        <v>14.914999999999999</v>
      </c>
      <c r="G20" s="10">
        <f>E20*F20</f>
        <v>-1737.5974999999999</v>
      </c>
      <c r="L20" s="6"/>
      <c r="M20" s="11"/>
    </row>
    <row r="21" spans="1:13">
      <c r="A21" s="2" t="s">
        <v>32</v>
      </c>
      <c r="E21" s="4">
        <f>-G13</f>
        <v>-116.5</v>
      </c>
      <c r="F21" s="6">
        <f>13</f>
        <v>13</v>
      </c>
      <c r="G21" s="10">
        <f>E21*F21</f>
        <v>-1514.5</v>
      </c>
      <c r="H21" s="17"/>
      <c r="L21" s="6"/>
      <c r="M21" s="11"/>
    </row>
    <row r="22" spans="1:13">
      <c r="A22" s="2" t="s">
        <v>28</v>
      </c>
      <c r="E22" s="4">
        <f>-G13</f>
        <v>-116.5</v>
      </c>
      <c r="F22" s="6">
        <f>(6.32+4.66)/2</f>
        <v>5.49</v>
      </c>
      <c r="G22" s="10">
        <f>E22*F22</f>
        <v>-639.58500000000004</v>
      </c>
      <c r="L22" s="6"/>
      <c r="M22" s="11"/>
    </row>
    <row r="23" spans="1:13">
      <c r="A23" s="2" t="s">
        <v>10</v>
      </c>
      <c r="C23" s="4"/>
      <c r="E23" s="4">
        <f>-G13</f>
        <v>-116.5</v>
      </c>
      <c r="F23" s="8">
        <f>(4.23+5.98)/2</f>
        <v>5.1050000000000004</v>
      </c>
      <c r="G23" s="11">
        <f t="shared" ref="G23" si="0">E23*F23</f>
        <v>-594.73250000000007</v>
      </c>
      <c r="I23" s="21"/>
      <c r="L23" s="6"/>
      <c r="M23" s="11"/>
    </row>
    <row r="24" spans="1:13">
      <c r="A24" s="2" t="s">
        <v>41</v>
      </c>
      <c r="E24" s="4">
        <v>-2</v>
      </c>
      <c r="F24" s="8">
        <f>126*1.5</f>
        <v>189</v>
      </c>
      <c r="G24" s="11">
        <f>E24*F24</f>
        <v>-378</v>
      </c>
      <c r="H24" s="31"/>
      <c r="L24" s="6"/>
      <c r="M24" s="11"/>
    </row>
    <row r="25" spans="1:13">
      <c r="A25" s="2" t="s">
        <v>66</v>
      </c>
      <c r="E25" s="4">
        <v>-2</v>
      </c>
      <c r="F25" s="8">
        <f>1206*1.3</f>
        <v>1567.8</v>
      </c>
      <c r="G25" s="11">
        <f>E25*F25</f>
        <v>-3135.6</v>
      </c>
      <c r="L25" s="6"/>
      <c r="M25" s="11"/>
    </row>
    <row r="26" spans="1:13">
      <c r="A26" s="2" t="s">
        <v>68</v>
      </c>
      <c r="E26" s="4">
        <v>-4</v>
      </c>
      <c r="F26" s="8">
        <f>(1818+788)/2</f>
        <v>1303</v>
      </c>
      <c r="G26" s="11">
        <f>E26*F26</f>
        <v>-5212</v>
      </c>
      <c r="L26" s="6"/>
      <c r="M26" s="11"/>
    </row>
    <row r="27" spans="1:13">
      <c r="A27" s="2" t="s">
        <v>24</v>
      </c>
      <c r="E27" s="4">
        <v>-1</v>
      </c>
      <c r="F27" s="8">
        <f>166*1.5</f>
        <v>249</v>
      </c>
      <c r="G27" s="11">
        <f>E27*F27</f>
        <v>-249</v>
      </c>
      <c r="L27" s="6"/>
      <c r="M27" s="11"/>
    </row>
    <row r="28" spans="1:13">
      <c r="A28" s="17" t="s">
        <v>36</v>
      </c>
      <c r="E28" s="4">
        <v>0</v>
      </c>
      <c r="F28" s="8">
        <v>0</v>
      </c>
      <c r="G28" s="11">
        <v>0</v>
      </c>
      <c r="H28" s="17"/>
      <c r="L28" s="28"/>
      <c r="M28" s="11"/>
    </row>
    <row r="29" spans="1:13">
      <c r="A29" s="17" t="s">
        <v>38</v>
      </c>
      <c r="E29" s="4">
        <v>2</v>
      </c>
      <c r="F29" s="8">
        <f>238.3*2</f>
        <v>476.6</v>
      </c>
      <c r="G29" s="11">
        <f t="shared" ref="G29:G33" si="1">E29*F29</f>
        <v>953.2</v>
      </c>
      <c r="L29" s="6"/>
      <c r="M29" s="11"/>
    </row>
    <row r="30" spans="1:13">
      <c r="A30" s="31" t="s">
        <v>20</v>
      </c>
      <c r="E30" s="4">
        <f>5+9</f>
        <v>14</v>
      </c>
      <c r="F30" s="8">
        <f>(58.5/10)*2</f>
        <v>11.7</v>
      </c>
      <c r="G30" s="11">
        <f t="shared" si="1"/>
        <v>163.79999999999998</v>
      </c>
      <c r="H30" s="31"/>
      <c r="L30" s="28"/>
      <c r="M30" s="11"/>
    </row>
    <row r="31" spans="1:13">
      <c r="A31" s="31" t="s">
        <v>21</v>
      </c>
      <c r="E31" s="4">
        <f>10+14</f>
        <v>24</v>
      </c>
      <c r="F31" s="8">
        <f>(76.88/10)*2</f>
        <v>15.375999999999999</v>
      </c>
      <c r="G31" s="11">
        <f t="shared" si="1"/>
        <v>369.024</v>
      </c>
      <c r="H31" s="31"/>
      <c r="L31" s="28"/>
      <c r="M31" s="11"/>
    </row>
    <row r="32" spans="1:13">
      <c r="A32" s="31" t="s">
        <v>22</v>
      </c>
      <c r="E32" s="4">
        <f>18+23</f>
        <v>41</v>
      </c>
      <c r="F32" s="8">
        <f>(15.58/10)*2</f>
        <v>3.1160000000000001</v>
      </c>
      <c r="G32" s="11">
        <f t="shared" si="1"/>
        <v>127.756</v>
      </c>
      <c r="H32" s="31"/>
      <c r="J32" s="31"/>
      <c r="L32" s="28"/>
      <c r="M32" s="11"/>
    </row>
    <row r="33" spans="1:13">
      <c r="A33" s="31" t="s">
        <v>23</v>
      </c>
      <c r="E33" s="4">
        <f>E32</f>
        <v>41</v>
      </c>
      <c r="F33" s="8">
        <f>F32</f>
        <v>3.1160000000000001</v>
      </c>
      <c r="G33" s="11">
        <f t="shared" si="1"/>
        <v>127.756</v>
      </c>
      <c r="H33" s="31"/>
      <c r="J33" s="31"/>
      <c r="L33" s="28"/>
      <c r="M33" s="11"/>
    </row>
    <row r="34" spans="1:13">
      <c r="A34" s="2" t="s">
        <v>54</v>
      </c>
      <c r="E34" s="4">
        <v>6</v>
      </c>
      <c r="F34" s="6">
        <f>(687+565)/2</f>
        <v>626</v>
      </c>
      <c r="G34" s="10">
        <f t="shared" ref="G34:G64" si="2">E34*F34</f>
        <v>3756</v>
      </c>
      <c r="L34" s="6"/>
      <c r="M34" s="11"/>
    </row>
    <row r="35" spans="1:13">
      <c r="A35" s="2" t="s">
        <v>40</v>
      </c>
      <c r="E35" s="4">
        <v>0</v>
      </c>
      <c r="F35" s="8">
        <v>0</v>
      </c>
      <c r="G35" s="11">
        <f t="shared" si="2"/>
        <v>0</v>
      </c>
      <c r="H35" s="30"/>
      <c r="J35" s="31"/>
      <c r="L35" s="28"/>
      <c r="M35" s="11"/>
    </row>
    <row r="36" spans="1:13">
      <c r="A36" s="2" t="s">
        <v>4</v>
      </c>
      <c r="E36" s="4">
        <f>E34</f>
        <v>6</v>
      </c>
      <c r="F36" s="8">
        <f>(367+226)/2</f>
        <v>296.5</v>
      </c>
      <c r="G36" s="11">
        <f t="shared" si="2"/>
        <v>1779</v>
      </c>
      <c r="L36" s="6"/>
      <c r="M36" s="11"/>
    </row>
    <row r="37" spans="1:13">
      <c r="A37" s="12" t="s">
        <v>43</v>
      </c>
      <c r="E37" s="4">
        <f>E34</f>
        <v>6</v>
      </c>
      <c r="F37" s="8">
        <f>(59+138)/2</f>
        <v>98.5</v>
      </c>
      <c r="G37" s="11">
        <f>E37*F37</f>
        <v>591</v>
      </c>
      <c r="H37" s="12"/>
      <c r="L37" s="6"/>
      <c r="M37" s="11"/>
    </row>
    <row r="38" spans="1:13">
      <c r="A38" s="2" t="s">
        <v>35</v>
      </c>
      <c r="E38" s="4">
        <f>E37</f>
        <v>6</v>
      </c>
      <c r="F38" s="8">
        <f>(31+69)/2</f>
        <v>50</v>
      </c>
      <c r="G38" s="11">
        <f>E38*F38</f>
        <v>300</v>
      </c>
      <c r="L38" s="6"/>
      <c r="M38" s="11"/>
    </row>
    <row r="39" spans="1:13">
      <c r="A39" s="2" t="s">
        <v>26</v>
      </c>
      <c r="E39" s="4">
        <v>6</v>
      </c>
      <c r="F39" s="8">
        <f>(80/3)*1.5</f>
        <v>40</v>
      </c>
      <c r="G39" s="11">
        <f t="shared" ref="G39:G47" si="3">E39*F39</f>
        <v>240</v>
      </c>
      <c r="L39" s="6"/>
      <c r="M39" s="11"/>
    </row>
    <row r="40" spans="1:13">
      <c r="A40" s="17" t="s">
        <v>29</v>
      </c>
      <c r="E40" s="4">
        <v>6</v>
      </c>
      <c r="F40" s="8">
        <f>6.76*2</f>
        <v>13.52</v>
      </c>
      <c r="G40" s="11">
        <f t="shared" si="3"/>
        <v>81.12</v>
      </c>
      <c r="H40" s="17"/>
      <c r="L40" s="6"/>
      <c r="M40" s="11"/>
    </row>
    <row r="41" spans="1:13">
      <c r="A41" s="2" t="s">
        <v>27</v>
      </c>
      <c r="E41" s="4">
        <v>6</v>
      </c>
      <c r="F41" s="8">
        <f>5.18*3</f>
        <v>15.54</v>
      </c>
      <c r="G41" s="11">
        <f t="shared" si="3"/>
        <v>93.24</v>
      </c>
      <c r="L41" s="6"/>
      <c r="M41" s="11"/>
    </row>
    <row r="42" spans="1:13">
      <c r="A42" s="2" t="s">
        <v>58</v>
      </c>
      <c r="E42" s="4">
        <f>((49.5*2)+(5*9))*8</f>
        <v>1152</v>
      </c>
      <c r="F42" s="6">
        <f>(3.01+5.03)/2</f>
        <v>4.0199999999999996</v>
      </c>
      <c r="G42" s="10">
        <f t="shared" si="3"/>
        <v>4631.0399999999991</v>
      </c>
      <c r="I42" s="11"/>
      <c r="L42" s="6"/>
      <c r="M42" s="11"/>
    </row>
    <row r="43" spans="1:13">
      <c r="A43" s="2" t="s">
        <v>69</v>
      </c>
      <c r="E43" s="4">
        <f>E42*2</f>
        <v>2304</v>
      </c>
      <c r="F43" s="6">
        <f>(5.96+3.98)/2</f>
        <v>4.97</v>
      </c>
      <c r="G43" s="10">
        <f t="shared" si="3"/>
        <v>11450.88</v>
      </c>
      <c r="H43" s="11"/>
      <c r="I43" s="11"/>
      <c r="L43" s="6"/>
      <c r="M43" s="11"/>
    </row>
    <row r="44" spans="1:13">
      <c r="A44" s="2" t="s">
        <v>47</v>
      </c>
      <c r="E44" s="4">
        <f>-21.3*6*8</f>
        <v>-1022.4000000000001</v>
      </c>
      <c r="F44" s="6">
        <f>F42</f>
        <v>4.0199999999999996</v>
      </c>
      <c r="G44" s="10">
        <f>E44*F44</f>
        <v>-4110.0479999999998</v>
      </c>
      <c r="H44" s="11"/>
      <c r="I44" s="11"/>
      <c r="L44" s="6"/>
      <c r="M44" s="11"/>
    </row>
    <row r="45" spans="1:13">
      <c r="A45" s="2" t="s">
        <v>48</v>
      </c>
      <c r="E45" s="4">
        <f>-21.3*10*8</f>
        <v>-1704</v>
      </c>
      <c r="F45" s="6">
        <f>F43</f>
        <v>4.97</v>
      </c>
      <c r="G45" s="10">
        <f>E45*F45</f>
        <v>-8468.8799999999992</v>
      </c>
      <c r="H45" s="11"/>
      <c r="I45" s="11"/>
      <c r="L45" s="6"/>
      <c r="M45" s="11"/>
    </row>
    <row r="46" spans="1:13">
      <c r="A46" s="12" t="s">
        <v>49</v>
      </c>
      <c r="E46" s="4">
        <f>((5+5+7+(7-3))*4)*4</f>
        <v>336</v>
      </c>
      <c r="F46" s="6">
        <f>(15.74-6.83)/2</f>
        <v>4.4550000000000001</v>
      </c>
      <c r="G46" s="10">
        <f t="shared" si="3"/>
        <v>1496.88</v>
      </c>
      <c r="H46" s="11"/>
      <c r="I46" s="11"/>
      <c r="L46" s="6"/>
      <c r="M46" s="11"/>
    </row>
    <row r="47" spans="1:13">
      <c r="A47" s="12" t="s">
        <v>50</v>
      </c>
      <c r="E47" s="4">
        <f>((5+5+5+(5-3))*4)*4</f>
        <v>272</v>
      </c>
      <c r="F47" s="6">
        <f>F46</f>
        <v>4.4550000000000001</v>
      </c>
      <c r="G47" s="10">
        <f t="shared" si="3"/>
        <v>1211.76</v>
      </c>
      <c r="H47" s="11"/>
      <c r="I47" s="11"/>
      <c r="L47" s="6"/>
      <c r="M47" s="11"/>
    </row>
    <row r="48" spans="1:13">
      <c r="A48" s="12" t="s">
        <v>51</v>
      </c>
      <c r="E48" s="4">
        <f>21.3*6*4</f>
        <v>511.20000000000005</v>
      </c>
      <c r="F48" s="6">
        <f>F46</f>
        <v>4.4550000000000001</v>
      </c>
      <c r="G48" s="10">
        <f>E44*F44</f>
        <v>-4110.0479999999998</v>
      </c>
      <c r="H48" s="11"/>
      <c r="I48" s="11"/>
      <c r="L48" s="6"/>
      <c r="M48" s="11"/>
    </row>
    <row r="49" spans="1:13">
      <c r="A49" s="2" t="s">
        <v>1</v>
      </c>
      <c r="E49" s="4">
        <v>6</v>
      </c>
      <c r="F49" s="8">
        <f>(258+207)/2</f>
        <v>232.5</v>
      </c>
      <c r="G49" s="11">
        <f t="shared" si="2"/>
        <v>1395</v>
      </c>
      <c r="L49" s="6"/>
      <c r="M49" s="11"/>
    </row>
    <row r="50" spans="1:13">
      <c r="A50" s="2" t="s">
        <v>37</v>
      </c>
      <c r="E50" s="4">
        <v>2</v>
      </c>
      <c r="F50" s="6">
        <f>(384+609)/2</f>
        <v>496.5</v>
      </c>
      <c r="G50" s="10">
        <f t="shared" si="2"/>
        <v>993</v>
      </c>
      <c r="I50" s="11"/>
      <c r="L50" s="6"/>
      <c r="M50" s="11"/>
    </row>
    <row r="51" spans="1:13">
      <c r="A51" s="2" t="s">
        <v>14</v>
      </c>
      <c r="E51" s="4">
        <v>2</v>
      </c>
      <c r="F51" s="6">
        <f>110*1.5</f>
        <v>165</v>
      </c>
      <c r="G51" s="10">
        <f>E51*F51</f>
        <v>330</v>
      </c>
      <c r="L51" s="6"/>
      <c r="M51" s="11"/>
    </row>
    <row r="52" spans="1:13">
      <c r="A52" s="2" t="s">
        <v>44</v>
      </c>
      <c r="E52" s="4">
        <v>6</v>
      </c>
      <c r="F52" s="6">
        <f>F49</f>
        <v>232.5</v>
      </c>
      <c r="G52" s="10">
        <f t="shared" si="2"/>
        <v>1395</v>
      </c>
      <c r="L52" s="6"/>
      <c r="M52" s="11"/>
    </row>
    <row r="53" spans="1:13">
      <c r="A53" s="2" t="s">
        <v>8</v>
      </c>
      <c r="E53" s="4">
        <v>4</v>
      </c>
      <c r="F53" s="8">
        <f>(235+345)/2</f>
        <v>290</v>
      </c>
      <c r="G53" s="11">
        <f t="shared" si="2"/>
        <v>1160</v>
      </c>
      <c r="L53" s="6"/>
      <c r="M53" s="11"/>
    </row>
    <row r="54" spans="1:13">
      <c r="A54" s="2" t="s">
        <v>25</v>
      </c>
      <c r="E54" s="4">
        <v>6</v>
      </c>
      <c r="F54" s="8">
        <f>(256+201)/2</f>
        <v>228.5</v>
      </c>
      <c r="G54" s="11">
        <f t="shared" si="2"/>
        <v>1371</v>
      </c>
      <c r="L54" s="6"/>
      <c r="M54" s="11"/>
    </row>
    <row r="55" spans="1:13">
      <c r="A55" s="2" t="s">
        <v>67</v>
      </c>
      <c r="E55" s="4">
        <v>-2</v>
      </c>
      <c r="F55" s="8">
        <v>100</v>
      </c>
      <c r="G55" s="11">
        <f t="shared" si="2"/>
        <v>-200</v>
      </c>
      <c r="L55" s="8"/>
      <c r="M55" s="11"/>
    </row>
    <row r="56" spans="1:13">
      <c r="A56" s="2" t="s">
        <v>13</v>
      </c>
      <c r="E56" s="4">
        <v>2</v>
      </c>
      <c r="F56" s="8">
        <f>30*3*2</f>
        <v>180</v>
      </c>
      <c r="G56" s="11">
        <f>E56*F56</f>
        <v>360</v>
      </c>
      <c r="L56" s="6"/>
      <c r="M56" s="11"/>
    </row>
    <row r="57" spans="1:13">
      <c r="A57" s="2" t="s">
        <v>19</v>
      </c>
      <c r="E57" s="4">
        <v>2</v>
      </c>
      <c r="F57" s="6">
        <f>151.69*1.5</f>
        <v>227.535</v>
      </c>
      <c r="G57" s="10">
        <f t="shared" si="2"/>
        <v>455.07</v>
      </c>
      <c r="L57" s="6"/>
      <c r="M57" s="11"/>
    </row>
    <row r="58" spans="1:13">
      <c r="A58" s="2" t="s">
        <v>70</v>
      </c>
      <c r="E58" s="4">
        <v>2</v>
      </c>
      <c r="F58" s="6">
        <f>36*1.5</f>
        <v>54</v>
      </c>
      <c r="G58" s="10">
        <f>E58*F58</f>
        <v>108</v>
      </c>
      <c r="L58" s="6"/>
      <c r="M58" s="11"/>
    </row>
    <row r="59" spans="1:13">
      <c r="A59" s="2" t="s">
        <v>15</v>
      </c>
      <c r="E59" s="4">
        <v>2</v>
      </c>
      <c r="F59" s="6">
        <f>23*2</f>
        <v>46</v>
      </c>
      <c r="G59" s="10">
        <f>E59*F59</f>
        <v>92</v>
      </c>
      <c r="L59" s="6"/>
      <c r="M59" s="11"/>
    </row>
    <row r="60" spans="1:13">
      <c r="A60" s="2" t="s">
        <v>42</v>
      </c>
      <c r="E60" s="4">
        <v>4</v>
      </c>
      <c r="F60" s="6">
        <f>24.32*1.5</f>
        <v>36.480000000000004</v>
      </c>
      <c r="G60" s="10">
        <f>E60*F60</f>
        <v>145.92000000000002</v>
      </c>
      <c r="L60" s="6"/>
      <c r="M60" s="11"/>
    </row>
    <row r="61" spans="1:13">
      <c r="A61" s="31" t="s">
        <v>59</v>
      </c>
      <c r="E61" s="4">
        <v>3</v>
      </c>
      <c r="F61" s="6">
        <f>202.91-43.33</f>
        <v>159.57999999999998</v>
      </c>
      <c r="G61" s="10">
        <f>E61*F61</f>
        <v>478.73999999999995</v>
      </c>
      <c r="H61" s="31"/>
      <c r="L61" s="6"/>
      <c r="M61" s="11"/>
    </row>
    <row r="62" spans="1:13">
      <c r="A62" s="2" t="s">
        <v>16</v>
      </c>
      <c r="E62" s="4">
        <v>6</v>
      </c>
      <c r="F62" s="6">
        <f>126.63*2</f>
        <v>253.26</v>
      </c>
      <c r="G62" s="10">
        <f t="shared" si="2"/>
        <v>1519.56</v>
      </c>
      <c r="L62" s="6"/>
      <c r="M62" s="11"/>
    </row>
    <row r="63" spans="1:13">
      <c r="A63" s="2" t="s">
        <v>9</v>
      </c>
      <c r="E63" s="4">
        <v>2</v>
      </c>
      <c r="F63" s="6">
        <f>44.92*1.5</f>
        <v>67.38</v>
      </c>
      <c r="G63" s="10">
        <f t="shared" si="2"/>
        <v>134.76</v>
      </c>
      <c r="L63" s="6"/>
      <c r="M63" s="11"/>
    </row>
    <row r="64" spans="1:13">
      <c r="A64" s="2" t="s">
        <v>7</v>
      </c>
      <c r="E64" s="4">
        <v>6</v>
      </c>
      <c r="F64" s="6">
        <f>19*1.5</f>
        <v>28.5</v>
      </c>
      <c r="G64" s="10">
        <f t="shared" si="2"/>
        <v>171</v>
      </c>
      <c r="L64" s="6"/>
      <c r="M64" s="11"/>
    </row>
    <row r="65" spans="1:14">
      <c r="G65" s="10"/>
      <c r="L65" s="6"/>
      <c r="M65" s="11"/>
    </row>
    <row r="66" spans="1:14" s="37" customFormat="1">
      <c r="A66" s="37" t="s">
        <v>62</v>
      </c>
      <c r="E66" s="38">
        <f>E19</f>
        <v>-116.5</v>
      </c>
      <c r="F66" s="39">
        <f>2.29*40</f>
        <v>91.6</v>
      </c>
      <c r="G66" s="40">
        <f>E66*F66</f>
        <v>-10671.4</v>
      </c>
      <c r="K66" s="38"/>
      <c r="L66" s="39"/>
      <c r="M66" s="41"/>
    </row>
    <row r="67" spans="1:14">
      <c r="G67" s="10"/>
      <c r="L67" s="6"/>
      <c r="M67" s="11"/>
    </row>
    <row r="68" spans="1:14" s="20" customFormat="1">
      <c r="A68" s="20" t="s">
        <v>31</v>
      </c>
      <c r="E68" s="3"/>
      <c r="G68" s="34">
        <f>SUM(G19:G67)</f>
        <v>-4344.317500000001</v>
      </c>
      <c r="K68" s="3"/>
      <c r="M68" s="16"/>
    </row>
    <row r="69" spans="1:14" s="1" customFormat="1">
      <c r="A69" s="1" t="s">
        <v>18</v>
      </c>
      <c r="E69" s="3"/>
      <c r="F69" s="7"/>
      <c r="G69" s="9">
        <f>G68-G66</f>
        <v>6327.0824999999986</v>
      </c>
      <c r="K69" s="3"/>
      <c r="M69" s="16"/>
    </row>
    <row r="70" spans="1:14" s="1" customFormat="1">
      <c r="A70" s="43"/>
      <c r="E70" s="3"/>
      <c r="F70" s="7"/>
      <c r="G70" s="9"/>
      <c r="I70" s="2"/>
      <c r="J70" s="2"/>
      <c r="K70" s="4"/>
      <c r="L70" s="2"/>
      <c r="M70" s="21"/>
      <c r="N70" s="2"/>
    </row>
    <row r="71" spans="1:14" s="58" customFormat="1">
      <c r="A71" s="37" t="s">
        <v>73</v>
      </c>
      <c r="B71" s="37"/>
      <c r="C71" s="37"/>
      <c r="D71" s="37"/>
      <c r="E71" s="38"/>
      <c r="F71" s="39"/>
      <c r="G71" s="38"/>
      <c r="I71" s="37"/>
      <c r="J71" s="37"/>
      <c r="K71" s="38"/>
      <c r="L71" s="37"/>
      <c r="M71" s="59"/>
      <c r="N71" s="37"/>
    </row>
    <row r="72" spans="1:14" s="58" customFormat="1">
      <c r="A72" s="37" t="s">
        <v>63</v>
      </c>
      <c r="C72" s="38"/>
      <c r="D72" s="37"/>
      <c r="E72" s="38">
        <f>E19</f>
        <v>-116.5</v>
      </c>
      <c r="F72" s="39" t="s">
        <v>64</v>
      </c>
      <c r="G72" s="60"/>
      <c r="H72" s="61"/>
      <c r="J72" s="37"/>
      <c r="K72" s="38"/>
      <c r="L72" s="37"/>
      <c r="M72" s="59"/>
      <c r="N72" s="37"/>
    </row>
    <row r="73" spans="1:14" s="1" customFormat="1">
      <c r="A73" s="2"/>
      <c r="E73" s="3"/>
      <c r="F73" s="7"/>
      <c r="G73" s="9"/>
      <c r="H73" s="16"/>
      <c r="J73" s="2"/>
      <c r="K73" s="4"/>
      <c r="L73" s="2"/>
      <c r="M73" s="21"/>
      <c r="N73" s="2"/>
    </row>
    <row r="74" spans="1:14" s="1" customFormat="1">
      <c r="A74" s="2" t="s">
        <v>33</v>
      </c>
      <c r="B74" s="2"/>
      <c r="C74" s="2"/>
      <c r="D74" s="2"/>
      <c r="E74" s="4"/>
      <c r="F74" s="6"/>
      <c r="G74" s="10"/>
      <c r="H74" s="55"/>
      <c r="J74" s="2"/>
      <c r="K74" s="4"/>
      <c r="L74" s="2"/>
      <c r="M74" s="21"/>
      <c r="N74" s="2"/>
    </row>
    <row r="75" spans="1:14" s="1" customFormat="1">
      <c r="A75" s="11">
        <f>G69</f>
        <v>6327.0824999999986</v>
      </c>
      <c r="B75" s="2" t="s">
        <v>45</v>
      </c>
      <c r="C75" s="2"/>
      <c r="D75" s="2"/>
      <c r="E75" s="4"/>
      <c r="F75" s="6"/>
      <c r="G75" s="10"/>
      <c r="I75" s="2"/>
      <c r="J75" s="2"/>
      <c r="K75" s="4"/>
      <c r="L75" s="2"/>
      <c r="M75" s="21"/>
      <c r="N75" s="2"/>
    </row>
    <row r="76" spans="1:14" s="1" customFormat="1" ht="21">
      <c r="A76" s="28">
        <f>(90400+G69)/90400</f>
        <v>1.0699898506637169</v>
      </c>
      <c r="B76" s="2" t="s">
        <v>46</v>
      </c>
      <c r="C76" s="2"/>
      <c r="D76" s="2"/>
      <c r="E76" s="4"/>
      <c r="F76" s="6"/>
      <c r="G76" s="10"/>
      <c r="H76" s="56"/>
      <c r="I76" s="2"/>
      <c r="J76" s="2"/>
      <c r="K76" s="4"/>
      <c r="L76" s="2"/>
      <c r="M76" s="21"/>
      <c r="N76" s="2"/>
    </row>
    <row r="77" spans="1:14" s="14" customFormat="1">
      <c r="A77" s="43"/>
      <c r="B77" s="1"/>
      <c r="C77" s="1"/>
      <c r="D77" s="1"/>
      <c r="E77" s="3"/>
      <c r="F77" s="7"/>
      <c r="G77" s="9"/>
      <c r="K77" s="26"/>
      <c r="M77" s="24"/>
    </row>
    <row r="78" spans="1:14" s="17" customFormat="1" ht="21">
      <c r="A78" s="57" t="s">
        <v>30</v>
      </c>
      <c r="E78" s="19"/>
      <c r="F78" s="18"/>
      <c r="K78" s="19"/>
      <c r="M78" s="23"/>
    </row>
    <row r="79" spans="1:14" s="17" customFormat="1" ht="21">
      <c r="A79" s="57"/>
      <c r="E79" s="19"/>
      <c r="F79" s="18"/>
      <c r="K79" s="19"/>
      <c r="M79" s="23"/>
    </row>
    <row r="80" spans="1:14" s="31" customFormat="1" ht="15">
      <c r="A80" s="31" t="s">
        <v>52</v>
      </c>
      <c r="E80" s="32"/>
      <c r="F80" s="33"/>
      <c r="K80" s="32"/>
      <c r="M80" s="36"/>
    </row>
    <row r="81" spans="1:13" s="31" customFormat="1" ht="15">
      <c r="A81" t="s">
        <v>56</v>
      </c>
      <c r="E81" s="32"/>
      <c r="F81" s="33"/>
      <c r="K81" s="32"/>
      <c r="M81" s="36"/>
    </row>
    <row r="82" spans="1:13" s="14" customFormat="1" ht="15">
      <c r="A82" t="s">
        <v>55</v>
      </c>
      <c r="B82" s="12"/>
      <c r="C82" s="12"/>
      <c r="D82" s="12"/>
      <c r="E82" s="27"/>
      <c r="F82" s="13"/>
      <c r="G82" s="12"/>
      <c r="K82" s="26"/>
      <c r="M82" s="24"/>
    </row>
    <row r="83" spans="1:13" s="14" customFormat="1" ht="15">
      <c r="A83" t="s">
        <v>71</v>
      </c>
      <c r="B83" s="12"/>
      <c r="C83" s="12"/>
      <c r="D83" s="12"/>
      <c r="E83" s="27"/>
      <c r="F83" s="13"/>
      <c r="G83" s="12"/>
      <c r="K83" s="26"/>
      <c r="M83" s="24"/>
    </row>
    <row r="84" spans="1:13" s="12" customFormat="1" ht="12.75">
      <c r="A84" s="12" t="s">
        <v>60</v>
      </c>
      <c r="E84" s="27"/>
      <c r="F84" s="13"/>
      <c r="G84" s="27"/>
      <c r="K84" s="27"/>
      <c r="M84" s="22"/>
    </row>
    <row r="85" spans="1:13" s="12" customFormat="1" ht="12.75">
      <c r="A85" s="12" t="s">
        <v>65</v>
      </c>
      <c r="E85" s="27"/>
      <c r="F85" s="13"/>
      <c r="G85" s="27"/>
      <c r="K85" s="27"/>
      <c r="M85" s="22"/>
    </row>
    <row r="86" spans="1:13" s="31" customFormat="1" ht="15">
      <c r="A86" s="62" t="s">
        <v>61</v>
      </c>
      <c r="E86" s="32"/>
      <c r="F86" s="33"/>
      <c r="K86" s="32"/>
      <c r="M86" s="36"/>
    </row>
    <row r="87" spans="1:13" s="31" customFormat="1" ht="15">
      <c r="A87" s="31" t="s">
        <v>53</v>
      </c>
      <c r="E87" s="32"/>
      <c r="F87" s="33"/>
      <c r="K87" s="32"/>
      <c r="M87" s="36"/>
    </row>
    <row r="88" spans="1:13" s="17" customFormat="1">
      <c r="B88" s="2"/>
      <c r="C88" s="2"/>
      <c r="D88" s="2"/>
      <c r="E88" s="4"/>
      <c r="F88" s="6"/>
      <c r="G88" s="2"/>
      <c r="H88" s="2"/>
      <c r="K88" s="19"/>
      <c r="M88" s="23"/>
    </row>
    <row r="89" spans="1:13" s="17" customFormat="1" ht="21">
      <c r="A89" s="57"/>
      <c r="B89" s="2"/>
      <c r="C89" s="2"/>
      <c r="D89" s="2"/>
      <c r="E89" s="4"/>
      <c r="F89" s="6"/>
      <c r="G89" s="2"/>
      <c r="K89" s="19"/>
      <c r="M89" s="23"/>
    </row>
    <row r="90" spans="1:13" s="17" customFormat="1">
      <c r="A90" s="43"/>
      <c r="B90" s="1"/>
      <c r="C90" s="1"/>
      <c r="D90" s="1"/>
      <c r="E90" s="3"/>
      <c r="F90" s="7"/>
      <c r="G90" s="9"/>
      <c r="K90" s="19"/>
      <c r="M90" s="23"/>
    </row>
    <row r="91" spans="1:13" s="17" customFormat="1">
      <c r="A91" s="2"/>
      <c r="B91" s="1"/>
      <c r="C91" s="1"/>
      <c r="D91" s="1"/>
      <c r="E91" s="3"/>
      <c r="F91" s="7"/>
      <c r="G91" s="9"/>
      <c r="K91" s="19"/>
      <c r="M91" s="23"/>
    </row>
    <row r="92" spans="1:13" s="17" customFormat="1">
      <c r="B92" s="1"/>
      <c r="C92" s="1"/>
      <c r="D92" s="1"/>
      <c r="E92" s="3"/>
      <c r="F92" s="7"/>
      <c r="G92" s="9"/>
      <c r="K92" s="19"/>
      <c r="M92" s="23"/>
    </row>
    <row r="93" spans="1:13" s="31" customFormat="1">
      <c r="A93" s="2"/>
      <c r="B93" s="2"/>
      <c r="C93" s="2"/>
      <c r="D93" s="2"/>
      <c r="E93" s="4"/>
      <c r="F93" s="6"/>
      <c r="G93" s="19"/>
      <c r="H93" s="17"/>
      <c r="K93" s="32"/>
      <c r="M93" s="36"/>
    </row>
    <row r="94" spans="1:13" s="14" customFormat="1">
      <c r="A94" s="2"/>
      <c r="B94" s="2"/>
      <c r="C94" s="2"/>
      <c r="D94" s="2"/>
      <c r="E94" s="4"/>
      <c r="F94" s="6"/>
      <c r="G94" s="19"/>
      <c r="H94" s="31"/>
      <c r="K94" s="26"/>
      <c r="M94" s="24"/>
    </row>
    <row r="95" spans="1:13" s="14" customFormat="1">
      <c r="A95" s="2"/>
      <c r="B95" s="2"/>
      <c r="C95" s="2"/>
      <c r="D95" s="2"/>
      <c r="E95" s="4"/>
      <c r="F95" s="6"/>
      <c r="G95" s="19"/>
      <c r="K95" s="26"/>
      <c r="M95" s="24"/>
    </row>
    <row r="96" spans="1:13">
      <c r="G96" s="19"/>
      <c r="H96" s="14"/>
    </row>
    <row r="97" spans="1:13" s="12" customFormat="1">
      <c r="A97" s="2"/>
      <c r="B97" s="2"/>
      <c r="C97" s="2"/>
      <c r="D97" s="2"/>
      <c r="E97" s="4"/>
      <c r="F97" s="6"/>
      <c r="G97" s="19"/>
      <c r="H97" s="2"/>
      <c r="K97" s="27"/>
      <c r="M97" s="22"/>
    </row>
    <row r="98" spans="1:13">
      <c r="G98" s="19"/>
      <c r="H98" s="12"/>
    </row>
    <row r="99" spans="1:13">
      <c r="G99" s="19"/>
      <c r="H99" s="12"/>
    </row>
    <row r="100" spans="1:13">
      <c r="A100" s="17"/>
      <c r="G100" s="26"/>
    </row>
    <row r="101" spans="1:13">
      <c r="A101" s="17"/>
      <c r="G101" s="26"/>
    </row>
    <row r="102" spans="1:13" s="51" customFormat="1">
      <c r="A102" s="17"/>
      <c r="B102" s="17"/>
      <c r="C102" s="14"/>
      <c r="D102" s="14"/>
      <c r="E102" s="26"/>
      <c r="F102" s="15"/>
      <c r="G102" s="26"/>
      <c r="H102" s="2"/>
      <c r="K102" s="52"/>
      <c r="M102" s="54"/>
    </row>
    <row r="103" spans="1:13" s="14" customFormat="1" ht="15.75">
      <c r="A103" s="17"/>
      <c r="B103" s="17"/>
      <c r="E103" s="26"/>
      <c r="F103" s="15"/>
      <c r="G103" s="26"/>
      <c r="H103" s="51"/>
      <c r="K103" s="26"/>
      <c r="M103" s="24"/>
    </row>
    <row r="104" spans="1:13">
      <c r="A104" s="12"/>
      <c r="B104" s="12"/>
      <c r="C104" s="14"/>
      <c r="D104" s="14"/>
      <c r="E104" s="26"/>
      <c r="F104" s="15"/>
      <c r="G104" s="26"/>
      <c r="H104" s="14"/>
    </row>
    <row r="105" spans="1:13">
      <c r="A105" s="31"/>
      <c r="B105" s="12"/>
      <c r="C105" s="14"/>
      <c r="D105" s="14"/>
      <c r="E105" s="26"/>
      <c r="F105" s="15"/>
      <c r="G105" s="26"/>
    </row>
    <row r="106" spans="1:13">
      <c r="A106" s="31"/>
      <c r="B106" s="12"/>
      <c r="C106" s="14"/>
      <c r="D106" s="14"/>
      <c r="E106" s="26"/>
      <c r="F106" s="15"/>
      <c r="G106" s="26"/>
    </row>
    <row r="107" spans="1:13">
      <c r="A107" s="31"/>
      <c r="B107" s="12"/>
      <c r="C107" s="14"/>
      <c r="D107" s="14"/>
      <c r="E107" s="26"/>
      <c r="F107" s="15"/>
      <c r="G107" s="26"/>
    </row>
    <row r="108" spans="1:13">
      <c r="A108" s="31"/>
      <c r="B108" s="12"/>
      <c r="C108" s="14"/>
      <c r="D108" s="14"/>
      <c r="E108" s="26"/>
      <c r="F108" s="15"/>
      <c r="G108" s="26"/>
    </row>
    <row r="109" spans="1:13">
      <c r="G109" s="4"/>
    </row>
    <row r="110" spans="1:13">
      <c r="A110" s="17"/>
      <c r="B110" s="17"/>
      <c r="C110" s="17"/>
      <c r="D110" s="17"/>
      <c r="E110" s="19"/>
      <c r="F110" s="18"/>
      <c r="G110" s="17"/>
    </row>
    <row r="113" spans="1:7">
      <c r="A113" s="12"/>
      <c r="B113" s="14"/>
      <c r="C113" s="14"/>
      <c r="D113" s="14"/>
      <c r="E113" s="26"/>
      <c r="F113" s="15"/>
      <c r="G113" s="14"/>
    </row>
    <row r="114" spans="1:7">
      <c r="A114" s="17"/>
      <c r="B114" s="17"/>
      <c r="C114" s="17"/>
      <c r="D114" s="17"/>
      <c r="E114" s="19"/>
      <c r="F114" s="18"/>
      <c r="G114" s="17"/>
    </row>
    <row r="115" spans="1:7">
      <c r="A115" s="17"/>
      <c r="B115" s="17"/>
      <c r="C115" s="17"/>
      <c r="D115" s="17"/>
      <c r="E115" s="19"/>
      <c r="F115" s="18"/>
      <c r="G115" s="17"/>
    </row>
    <row r="119" spans="1:7" ht="21">
      <c r="A119" s="49"/>
      <c r="B119" s="17"/>
      <c r="C119" s="17"/>
      <c r="D119" s="17"/>
      <c r="E119" s="19"/>
      <c r="F119" s="18"/>
      <c r="G119" s="17"/>
    </row>
    <row r="120" spans="1:7">
      <c r="A120" s="17"/>
      <c r="B120" s="17"/>
      <c r="C120" s="17"/>
      <c r="D120" s="17"/>
      <c r="E120" s="19"/>
      <c r="F120" s="18"/>
      <c r="G120" s="17"/>
    </row>
    <row r="121" spans="1:7">
      <c r="A121" s="17"/>
      <c r="B121" s="12"/>
      <c r="C121" s="12"/>
      <c r="D121" s="12"/>
      <c r="E121" s="27"/>
      <c r="F121" s="18"/>
      <c r="G121" s="17"/>
    </row>
    <row r="122" spans="1:7">
      <c r="A122" s="17"/>
      <c r="B122" s="12"/>
      <c r="C122" s="12"/>
      <c r="D122" s="12"/>
      <c r="E122" s="27"/>
      <c r="F122" s="18"/>
      <c r="G122" s="17"/>
    </row>
    <row r="123" spans="1:7">
      <c r="A123" s="42"/>
      <c r="B123" s="12"/>
      <c r="C123" s="12"/>
      <c r="D123" s="12"/>
      <c r="E123" s="27"/>
      <c r="F123" s="33"/>
      <c r="G123" s="35"/>
    </row>
    <row r="124" spans="1:7">
      <c r="A124" s="17"/>
      <c r="B124" s="12"/>
      <c r="C124" s="12"/>
      <c r="D124" s="12"/>
      <c r="E124" s="27"/>
      <c r="F124" s="15"/>
      <c r="G124" s="25"/>
    </row>
    <row r="125" spans="1:7">
      <c r="A125" s="12"/>
    </row>
    <row r="126" spans="1:7">
      <c r="A126"/>
      <c r="B126" s="12"/>
      <c r="C126" s="12"/>
      <c r="D126" s="12"/>
      <c r="E126" s="27"/>
      <c r="F126" s="13"/>
      <c r="G126" s="12"/>
    </row>
    <row r="127" spans="1:7">
      <c r="A127" s="17"/>
      <c r="B127" s="12"/>
      <c r="C127" s="12"/>
      <c r="D127" s="12"/>
      <c r="E127" s="27"/>
      <c r="F127" s="13"/>
      <c r="G127" s="12"/>
    </row>
    <row r="128" spans="1:7">
      <c r="A128" s="17"/>
      <c r="B128" s="12"/>
      <c r="C128" s="12"/>
      <c r="D128" s="12"/>
      <c r="E128" s="27"/>
      <c r="F128" s="13"/>
      <c r="G128" s="12"/>
    </row>
    <row r="129" spans="1:7">
      <c r="A129"/>
    </row>
    <row r="130" spans="1:7">
      <c r="A130"/>
      <c r="G130" s="4"/>
    </row>
    <row r="131" spans="1:7">
      <c r="A131" s="50"/>
      <c r="B131" s="51"/>
      <c r="C131" s="51"/>
      <c r="D131" s="51"/>
      <c r="E131" s="52"/>
      <c r="F131" s="53"/>
      <c r="G131" s="51"/>
    </row>
    <row r="132" spans="1:7">
      <c r="A132" s="14"/>
      <c r="B132" s="14"/>
      <c r="C132" s="14"/>
      <c r="D132" s="14"/>
      <c r="E132" s="26"/>
      <c r="F132" s="15"/>
      <c r="G132" s="14"/>
    </row>
    <row r="133" spans="1:7">
      <c r="A133" s="14"/>
    </row>
    <row r="134" spans="1:7">
      <c r="A134" s="30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</cp:lastModifiedBy>
  <cp:lastPrinted>2017-05-17T14:55:09Z</cp:lastPrinted>
  <dcterms:created xsi:type="dcterms:W3CDTF">2016-06-21T21:31:59Z</dcterms:created>
  <dcterms:modified xsi:type="dcterms:W3CDTF">2018-03-16T23:25:14Z</dcterms:modified>
</cp:coreProperties>
</file>